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705" tabRatio="785" activeTab="5"/>
  </bookViews>
  <sheets>
    <sheet name="收支餘絀預計表" sheetId="1" r:id="rId1"/>
    <sheet name="預計長期營運資產變動表_資本門修訂" sheetId="2" r:id="rId2"/>
    <sheet name="預計增置資應明細表_資本門修訂" sheetId="3" r:id="rId3"/>
    <sheet name="收入預算表" sheetId="4" r:id="rId4"/>
    <sheet name="學費預估" sheetId="5" r:id="rId5"/>
    <sheet name="成本與費用預算表" sheetId="6" r:id="rId6"/>
  </sheets>
  <externalReferences>
    <externalReference r:id="rId9"/>
  </externalReferences>
  <definedNames>
    <definedName name="_xlnm.Print_Area" localSheetId="4">'學費預估'!$A$1:$H$25</definedName>
    <definedName name="_xlnm.Print_Titles" localSheetId="5">'成本與費用預算表'!$1:$6</definedName>
    <definedName name="_xlnm.Print_Titles" localSheetId="3">'收入預算表'!$1:$6</definedName>
    <definedName name="_xlnm.Print_Titles" localSheetId="2">'預計增置資應明細表_資本門修訂'!$1:$3</definedName>
  </definedNames>
  <calcPr fullCalcOnLoad="1"/>
</workbook>
</file>

<file path=xl/comments1.xml><?xml version="1.0" encoding="utf-8"?>
<comments xmlns="http://schemas.openxmlformats.org/spreadsheetml/2006/main">
  <authors>
    <author>user</author>
  </authors>
  <commentList>
    <comment ref="A4" authorId="0">
      <text>
        <r>
          <rPr>
            <b/>
            <sz val="9"/>
            <rFont val="Tahoma"/>
            <family val="2"/>
          </rPr>
          <t>user:</t>
        </r>
        <r>
          <rPr>
            <sz val="9"/>
            <rFont val="Tahoma"/>
            <family val="2"/>
          </rPr>
          <t xml:space="preserve">
110</t>
        </r>
      </text>
    </comment>
    <comment ref="D4" authorId="0">
      <text>
        <r>
          <rPr>
            <b/>
            <sz val="9"/>
            <rFont val="Tahoma"/>
            <family val="2"/>
          </rPr>
          <t>user:</t>
        </r>
        <r>
          <rPr>
            <sz val="9"/>
            <rFont val="Tahoma"/>
            <family val="2"/>
          </rPr>
          <t xml:space="preserve">
111</t>
        </r>
      </text>
    </comment>
    <comment ref="C4" authorId="0">
      <text>
        <r>
          <rPr>
            <b/>
            <sz val="9"/>
            <rFont val="Tahoma"/>
            <family val="2"/>
          </rPr>
          <t>user:</t>
        </r>
        <r>
          <rPr>
            <sz val="9"/>
            <rFont val="Tahoma"/>
            <family val="2"/>
          </rPr>
          <t xml:space="preserve">
112</t>
        </r>
      </text>
    </comment>
  </commentList>
</comments>
</file>

<file path=xl/comments2.xml><?xml version="1.0" encoding="utf-8"?>
<comments xmlns="http://schemas.openxmlformats.org/spreadsheetml/2006/main">
  <authors>
    <author>user</author>
  </authors>
  <commentList>
    <comment ref="C4" authorId="0">
      <text>
        <r>
          <rPr>
            <b/>
            <sz val="9"/>
            <rFont val="Tahoma"/>
            <family val="2"/>
          </rPr>
          <t>user:</t>
        </r>
        <r>
          <rPr>
            <sz val="9"/>
            <rFont val="Tahoma"/>
            <family val="2"/>
          </rPr>
          <t xml:space="preserve">
111</t>
        </r>
      </text>
    </comment>
    <comment ref="D4" authorId="0">
      <text>
        <r>
          <rPr>
            <b/>
            <sz val="9"/>
            <rFont val="Tahoma"/>
            <family val="2"/>
          </rPr>
          <t>user:</t>
        </r>
        <r>
          <rPr>
            <sz val="9"/>
            <rFont val="Tahoma"/>
            <family val="2"/>
          </rPr>
          <t xml:space="preserve">
112</t>
        </r>
      </text>
    </comment>
    <comment ref="E4" authorId="0">
      <text>
        <r>
          <rPr>
            <b/>
            <sz val="9"/>
            <rFont val="Tahoma"/>
            <family val="2"/>
          </rPr>
          <t>user:</t>
        </r>
        <r>
          <rPr>
            <sz val="9"/>
            <rFont val="Tahoma"/>
            <family val="2"/>
          </rPr>
          <t xml:space="preserve">
</t>
        </r>
        <r>
          <rPr>
            <sz val="9"/>
            <rFont val="細明體"/>
            <family val="3"/>
          </rPr>
          <t>折舊</t>
        </r>
        <r>
          <rPr>
            <sz val="9"/>
            <rFont val="Tahoma"/>
            <family val="2"/>
          </rPr>
          <t>112</t>
        </r>
      </text>
    </comment>
  </commentList>
</comments>
</file>

<file path=xl/comments4.xml><?xml version="1.0" encoding="utf-8"?>
<comments xmlns="http://schemas.openxmlformats.org/spreadsheetml/2006/main">
  <authors>
    <author>user</author>
  </authors>
  <commentList>
    <comment ref="A4" authorId="0">
      <text>
        <r>
          <rPr>
            <b/>
            <sz val="9"/>
            <rFont val="Tahoma"/>
            <family val="2"/>
          </rPr>
          <t>user:</t>
        </r>
        <r>
          <rPr>
            <sz val="9"/>
            <rFont val="Tahoma"/>
            <family val="2"/>
          </rPr>
          <t xml:space="preserve">
110</t>
        </r>
      </text>
    </comment>
    <comment ref="E4" authorId="0">
      <text>
        <r>
          <rPr>
            <b/>
            <sz val="9"/>
            <rFont val="Tahoma"/>
            <family val="2"/>
          </rPr>
          <t>user:</t>
        </r>
        <r>
          <rPr>
            <sz val="9"/>
            <rFont val="Tahoma"/>
            <family val="2"/>
          </rPr>
          <t xml:space="preserve">
112
</t>
        </r>
      </text>
    </comment>
    <comment ref="F4" authorId="0">
      <text>
        <r>
          <rPr>
            <b/>
            <sz val="9"/>
            <rFont val="Tahoma"/>
            <family val="2"/>
          </rPr>
          <t>user:</t>
        </r>
        <r>
          <rPr>
            <sz val="9"/>
            <rFont val="Tahoma"/>
            <family val="2"/>
          </rPr>
          <t xml:space="preserve">
111</t>
        </r>
      </text>
    </comment>
  </commentList>
</comments>
</file>

<file path=xl/sharedStrings.xml><?xml version="1.0" encoding="utf-8"?>
<sst xmlns="http://schemas.openxmlformats.org/spreadsheetml/2006/main" count="408" uniqueCount="351">
  <si>
    <t>收支餘絀預計表</t>
  </si>
  <si>
    <t>差異金額</t>
  </si>
  <si>
    <t>差異％</t>
  </si>
  <si>
    <t>　　學雜費收入</t>
  </si>
  <si>
    <t>　　其他教學活動收入</t>
  </si>
  <si>
    <t>　　財務收入</t>
  </si>
  <si>
    <t>　　其他收入</t>
  </si>
  <si>
    <t>　　董事會支出</t>
  </si>
  <si>
    <t>　　行政管理支出</t>
  </si>
  <si>
    <t>　　教學研究及訓輔支出</t>
  </si>
  <si>
    <t>　　獎助學金支出</t>
  </si>
  <si>
    <t>　　其他支出</t>
  </si>
  <si>
    <t>科目</t>
  </si>
  <si>
    <t>估計(上)年度決算數</t>
  </si>
  <si>
    <t>比較增減</t>
  </si>
  <si>
    <t>(本)年度          預算數</t>
  </si>
  <si>
    <t>　　推廣教育支出</t>
  </si>
  <si>
    <t>科目名稱</t>
  </si>
  <si>
    <t>說明</t>
  </si>
  <si>
    <t/>
  </si>
  <si>
    <t>收入預算明細表</t>
  </si>
  <si>
    <t>　　補助及受贈收入</t>
  </si>
  <si>
    <t>各項成本與費用</t>
  </si>
  <si>
    <t>本期餘絀</t>
  </si>
  <si>
    <t>各項收入</t>
  </si>
  <si>
    <t>預計本學年度減少金額</t>
  </si>
  <si>
    <t>預計本學年度重分類金額</t>
  </si>
  <si>
    <t>預計本學年底結存金額</t>
  </si>
  <si>
    <t>不動產、房屋及設備</t>
  </si>
  <si>
    <t>預付土地款</t>
  </si>
  <si>
    <t>不動產、房屋及設備淨額</t>
  </si>
  <si>
    <t>項目名稱</t>
  </si>
  <si>
    <t>估計(上)學年度決算數</t>
  </si>
  <si>
    <t>(本)學年度預算與估計(上) 學年度決算比較</t>
  </si>
  <si>
    <t xml:space="preserve">差異 </t>
  </si>
  <si>
    <t xml:space="preserve"> ％</t>
  </si>
  <si>
    <t>提出單位</t>
  </si>
  <si>
    <t>教務處</t>
  </si>
  <si>
    <t>總務處</t>
  </si>
  <si>
    <t>一、建築及設備</t>
  </si>
  <si>
    <t>項目、重要長期營運資產名稱</t>
  </si>
  <si>
    <t>成本與費用預算明細表</t>
  </si>
  <si>
    <t>(前)學年度       決算數</t>
  </si>
  <si>
    <t>項目名稱</t>
  </si>
  <si>
    <t>(本)學年度        預算數</t>
  </si>
  <si>
    <t>估計(上)學年度決算數</t>
  </si>
  <si>
    <t>(本)學年度預算與估計(上) 學年度決算比較</t>
  </si>
  <si>
    <t>說 明</t>
  </si>
  <si>
    <t xml:space="preserve">差異 </t>
  </si>
  <si>
    <t xml:space="preserve"> ％</t>
  </si>
  <si>
    <t>董事會支出</t>
  </si>
  <si>
    <t>行政管理支出</t>
  </si>
  <si>
    <t>107學年度無進修學校</t>
  </si>
  <si>
    <t>107學年度無進修學校</t>
  </si>
  <si>
    <t>獎助學金支出</t>
  </si>
  <si>
    <t>　　社大補充保費</t>
  </si>
  <si>
    <t xml:space="preserve">    代辦保險費支出</t>
  </si>
  <si>
    <t>其他支出</t>
  </si>
  <si>
    <t>推廣教育支出</t>
  </si>
  <si>
    <t>推廣教育及其他教學活動支出</t>
  </si>
  <si>
    <t>新生入學獎學金分六個學期支付</t>
  </si>
  <si>
    <t xml:space="preserve">    社大薪資</t>
  </si>
  <si>
    <t>　  社大保險費</t>
  </si>
  <si>
    <t>學雜費收入</t>
  </si>
  <si>
    <t>雜費</t>
  </si>
  <si>
    <t>汽車科</t>
  </si>
  <si>
    <t>電機科</t>
  </si>
  <si>
    <t>資訊科</t>
  </si>
  <si>
    <t>廣設科</t>
  </si>
  <si>
    <t>餐飲科</t>
  </si>
  <si>
    <t>學雜費收入</t>
  </si>
  <si>
    <t>補助及捐贈收入</t>
  </si>
  <si>
    <t>財務收入</t>
  </si>
  <si>
    <t>推廣教育收入</t>
  </si>
  <si>
    <t>其他教學活動收入</t>
  </si>
  <si>
    <t>推廣教育及其他教學活動收入</t>
  </si>
  <si>
    <t>其他收入</t>
  </si>
  <si>
    <t>收入合計</t>
  </si>
  <si>
    <t>教學研究及訓輔支出</t>
  </si>
  <si>
    <t>-1.29</t>
  </si>
  <si>
    <t xml:space="preserve">    推廣教育收入</t>
  </si>
  <si>
    <t xml:space="preserve">    其他教學活動支出</t>
  </si>
  <si>
    <t xml:space="preserve"> </t>
  </si>
  <si>
    <t xml:space="preserve"> 總 額</t>
  </si>
  <si>
    <t>人數</t>
  </si>
  <si>
    <t>學費</t>
  </si>
  <si>
    <t>實習費</t>
  </si>
  <si>
    <t>總計</t>
  </si>
  <si>
    <t>科別</t>
  </si>
  <si>
    <t>人  數</t>
  </si>
  <si>
    <t>學雜費收入(上下學期)</t>
  </si>
  <si>
    <t>一年級</t>
  </si>
  <si>
    <t>二年級</t>
  </si>
  <si>
    <t>三年級</t>
  </si>
  <si>
    <t>合  計</t>
  </si>
  <si>
    <t>什費</t>
  </si>
  <si>
    <t>機電科</t>
  </si>
  <si>
    <t>照服科</t>
  </si>
  <si>
    <t>綜合高中</t>
  </si>
  <si>
    <t>總 計</t>
  </si>
  <si>
    <r>
      <t>備註：</t>
    </r>
  </si>
  <si>
    <t>備註</t>
  </si>
  <si>
    <t>總價</t>
  </si>
  <si>
    <t>單價</t>
  </si>
  <si>
    <t>二、機械儀器及雜項設備</t>
  </si>
  <si>
    <t>汽車科</t>
  </si>
  <si>
    <t>綜高科</t>
  </si>
  <si>
    <t>中正社大</t>
  </si>
  <si>
    <t>三、圖書及博物</t>
  </si>
  <si>
    <t>四、其他設備</t>
  </si>
  <si>
    <t>總計</t>
  </si>
  <si>
    <t xml:space="preserve">  機械儀器設備</t>
  </si>
  <si>
    <t xml:space="preserve">  雜項設備</t>
  </si>
  <si>
    <r>
      <t>數</t>
    </r>
    <r>
      <rPr>
        <b/>
        <sz val="11"/>
        <rFont val="標楷體"/>
        <family val="4"/>
      </rPr>
      <t>量</t>
    </r>
  </si>
  <si>
    <t>雜項收入</t>
  </si>
  <si>
    <t>學費收入</t>
  </si>
  <si>
    <t>學費收入(職校)</t>
  </si>
  <si>
    <t>學費收入(補校)</t>
  </si>
  <si>
    <t>雜費收入(職校)</t>
  </si>
  <si>
    <t>雜費收入(補校)</t>
  </si>
  <si>
    <t>實習費收入(職校)</t>
  </si>
  <si>
    <t>實習費收入(補校)</t>
  </si>
  <si>
    <t>第八節輔導費</t>
  </si>
  <si>
    <t>補救教學輔導費</t>
  </si>
  <si>
    <t>學年學分費</t>
  </si>
  <si>
    <t>職校暑期輔導費</t>
  </si>
  <si>
    <t>補助收入</t>
  </si>
  <si>
    <t>補助收入(學校)</t>
  </si>
  <si>
    <t>補助收入(社大)</t>
  </si>
  <si>
    <t>利息收入</t>
  </si>
  <si>
    <t>利息收入(學校)</t>
  </si>
  <si>
    <t>利息收入(社大)</t>
  </si>
  <si>
    <t>投資收益</t>
  </si>
  <si>
    <t>証明書工本費</t>
  </si>
  <si>
    <t>証明書工本費(職校)</t>
  </si>
  <si>
    <t>証明書工本費(補校)</t>
  </si>
  <si>
    <t>電腦耗材、周邊設備及相關教學</t>
  </si>
  <si>
    <t>停車場清潔費</t>
  </si>
  <si>
    <t>合作社場地清潔費</t>
  </si>
  <si>
    <t>外借場地清潔費</t>
  </si>
  <si>
    <t>合作社水電費</t>
  </si>
  <si>
    <t>冷氣使用費</t>
  </si>
  <si>
    <t>冷氣使用費(職校)</t>
  </si>
  <si>
    <t>冷氣使用費(補校)</t>
  </si>
  <si>
    <t>其他</t>
  </si>
  <si>
    <t>開南大學水電費</t>
  </si>
  <si>
    <t>社大報名費收入</t>
  </si>
  <si>
    <t>社大電腦維護費收入</t>
  </si>
  <si>
    <t>社大製証費收入</t>
  </si>
  <si>
    <t>社大旁聽費收入</t>
  </si>
  <si>
    <t>社大冷氣費收入</t>
  </si>
  <si>
    <t>社大其他收入</t>
  </si>
  <si>
    <t>社大瓦斯電氣費收入</t>
  </si>
  <si>
    <t>206咖啡廳(幸町40)收入</t>
  </si>
  <si>
    <t>校慶紀念品收入</t>
  </si>
  <si>
    <t>社大代收保險費費收入</t>
  </si>
  <si>
    <t>三角埔校地租金收入</t>
  </si>
  <si>
    <t>雜費收入</t>
  </si>
  <si>
    <t>實習費收入</t>
  </si>
  <si>
    <t>估計本學年初結存金額</t>
  </si>
  <si>
    <t>預計本學年度增加金額</t>
  </si>
  <si>
    <t xml:space="preserve"> 合計</t>
  </si>
  <si>
    <t>其他設備</t>
  </si>
  <si>
    <t>圖書及博物</t>
  </si>
  <si>
    <t>機械儀器及雜項設備</t>
  </si>
  <si>
    <t>房屋及建築</t>
  </si>
  <si>
    <t>捐贈收入</t>
  </si>
  <si>
    <t>職校寒假輔導費</t>
  </si>
  <si>
    <t>薪資</t>
  </si>
  <si>
    <t>保險費</t>
  </si>
  <si>
    <t>人事費</t>
  </si>
  <si>
    <t>業務費</t>
  </si>
  <si>
    <t>退休撫恤費</t>
  </si>
  <si>
    <t>出席及交通費</t>
  </si>
  <si>
    <t>　</t>
  </si>
  <si>
    <t>維護費</t>
  </si>
  <si>
    <t>折舊及攤銷</t>
  </si>
  <si>
    <t>人事費</t>
  </si>
  <si>
    <t>　　</t>
  </si>
  <si>
    <t>薪資</t>
  </si>
  <si>
    <t>保險費</t>
  </si>
  <si>
    <t xml:space="preserve">  </t>
  </si>
  <si>
    <t>事務費</t>
  </si>
  <si>
    <t>慶典費</t>
  </si>
  <si>
    <t>特別費</t>
  </si>
  <si>
    <t>油脂</t>
  </si>
  <si>
    <t>維護費</t>
  </si>
  <si>
    <t>　　</t>
  </si>
  <si>
    <t>退休撫卹費
(退撫儲金)</t>
  </si>
  <si>
    <t>退休撫卹費
(職校勞工退休金)</t>
  </si>
  <si>
    <t>退休撫卹費
(補校勞工退休金)</t>
  </si>
  <si>
    <t>退休撫卹費</t>
  </si>
  <si>
    <t xml:space="preserve"> 職校薪資</t>
  </si>
  <si>
    <t xml:space="preserve"> 補校薪資</t>
  </si>
  <si>
    <t xml:space="preserve"> 職校保險費</t>
  </si>
  <si>
    <t xml:space="preserve"> 補校保險費</t>
  </si>
  <si>
    <t xml:space="preserve"> 職校補充保費</t>
  </si>
  <si>
    <t xml:space="preserve"> 補校補充保費</t>
  </si>
  <si>
    <t xml:space="preserve"> 職校事務費</t>
  </si>
  <si>
    <t xml:space="preserve"> 補校事務費</t>
  </si>
  <si>
    <t xml:space="preserve"> 招生事務費</t>
  </si>
  <si>
    <t>水電費</t>
  </si>
  <si>
    <t>環境清潔及美化</t>
  </si>
  <si>
    <t>學生實習費</t>
  </si>
  <si>
    <t>輔導教學費</t>
  </si>
  <si>
    <t xml:space="preserve"> 照服科</t>
  </si>
  <si>
    <t xml:space="preserve"> 餐飲科</t>
  </si>
  <si>
    <t xml:space="preserve"> 資訊科</t>
  </si>
  <si>
    <t xml:space="preserve"> 電機科</t>
  </si>
  <si>
    <t xml:space="preserve"> 汽車科</t>
  </si>
  <si>
    <t xml:space="preserve"> 機電科</t>
  </si>
  <si>
    <t xml:space="preserve"> 廣設科</t>
  </si>
  <si>
    <t xml:space="preserve"> 觀光科</t>
  </si>
  <si>
    <t>訓導活動費</t>
  </si>
  <si>
    <t>課業活動費</t>
  </si>
  <si>
    <t>其他</t>
  </si>
  <si>
    <t>退休撫卹費</t>
  </si>
  <si>
    <t>折舊及攤銷</t>
  </si>
  <si>
    <t>獎助學金支出</t>
  </si>
  <si>
    <t xml:space="preserve"> 社大薪資</t>
  </si>
  <si>
    <t xml:space="preserve"> 社大保險費</t>
  </si>
  <si>
    <t xml:space="preserve"> 社大補充保費</t>
  </si>
  <si>
    <t xml:space="preserve"> 行政支出</t>
  </si>
  <si>
    <t xml:space="preserve"> 教學支出</t>
  </si>
  <si>
    <t xml:space="preserve"> 教師鐘點費</t>
  </si>
  <si>
    <t>退休撫卹費</t>
  </si>
  <si>
    <t>其他教學活動支出</t>
  </si>
  <si>
    <t>合計</t>
  </si>
  <si>
    <t>其他</t>
  </si>
  <si>
    <t>順益汽車公司致贈設備，增加學生實習材料</t>
  </si>
  <si>
    <t>臺北市開南高級中等學校</t>
  </si>
  <si>
    <t>臺北市開南高級中等學校</t>
  </si>
  <si>
    <t>照服科</t>
  </si>
  <si>
    <t>臺北市開南高級中等學校</t>
  </si>
  <si>
    <t>依退休撫卹基金會之規定提列</t>
  </si>
  <si>
    <t>潤蓬產線捐贈機器手臂，增加學生實習材料</t>
  </si>
  <si>
    <t>訂購報紙期刊</t>
  </si>
  <si>
    <t>依規定提撥退休撫卹金</t>
  </si>
  <si>
    <t>臺北市開南高級中等學校</t>
  </si>
  <si>
    <t>幸町四十</t>
  </si>
  <si>
    <t xml:space="preserve">(前)年度
決算數                                                                                                                                                                                                            </t>
  </si>
  <si>
    <t>(前)學年度
決算數</t>
  </si>
  <si>
    <t>(本)學年度
預算數</t>
  </si>
  <si>
    <t>活動中心籃球場清潔費</t>
  </si>
  <si>
    <t>依學生人數估算</t>
  </si>
  <si>
    <r>
      <t>112</t>
    </r>
    <r>
      <rPr>
        <b/>
        <sz val="16"/>
        <color indexed="8"/>
        <rFont val="標楷體"/>
        <family val="4"/>
      </rPr>
      <t xml:space="preserve">學年度      </t>
    </r>
    <r>
      <rPr>
        <sz val="14"/>
        <color indexed="8"/>
        <rFont val="標楷體"/>
        <family val="4"/>
      </rPr>
      <t xml:space="preserve">            </t>
    </r>
  </si>
  <si>
    <r>
      <t xml:space="preserve">112學年度              </t>
    </r>
    <r>
      <rPr>
        <b/>
        <sz val="12"/>
        <color indexed="8"/>
        <rFont val="標楷體"/>
        <family val="4"/>
      </rPr>
      <t xml:space="preserve">  </t>
    </r>
  </si>
  <si>
    <t>112學年度</t>
  </si>
  <si>
    <t>112學年度</t>
  </si>
  <si>
    <t xml:space="preserve">    附屬機構損失</t>
  </si>
  <si>
    <t>無界塾創新教育協會</t>
  </si>
  <si>
    <t>111學年度因疫情影響，多數課程改為線上或混成教學，112學年度逐漸恢復實體課程</t>
  </si>
  <si>
    <t>111學年度因疫情影響場地外借</t>
  </si>
  <si>
    <t>1.111學年度出售股票收益
2.112學年度投資股票現金股利收入依該公司宣告金額預估提列</t>
  </si>
  <si>
    <t>預計112學年度學雜費收入總表</t>
  </si>
  <si>
    <t>預計112學年度學雜費收入明細表</t>
  </si>
  <si>
    <t xml:space="preserve">(2)學費：工科、廣設科、餐飲科、照服科、綜高科@24,423元。   </t>
  </si>
  <si>
    <t>(4)實習費：工科、餐飲科@2,970元，廣設科@2,970元，照服科@1,320元。</t>
  </si>
  <si>
    <t>董事會秘書112年8月1日退休</t>
  </si>
  <si>
    <t>111學年度校務基金投資會議及轉型發會議併董事會召開</t>
  </si>
  <si>
    <t xml:space="preserve"> 設備組</t>
  </si>
  <si>
    <t>財務支出</t>
  </si>
  <si>
    <t>附屬機構損失(日照)</t>
  </si>
  <si>
    <t>111學年度未召開校務基金投資管理委員會及轉型發展委員會</t>
  </si>
  <si>
    <t>觀光科已停招</t>
  </si>
  <si>
    <t>預估增加112學年度高一學生人數</t>
  </si>
  <si>
    <t>增額提撥</t>
  </si>
  <si>
    <t>稅捐</t>
  </si>
  <si>
    <t>其他支出</t>
  </si>
  <si>
    <r>
      <t>1.每年預編訟訴費200,000元111學年度未動用
2.111學年度無熔絲開關</t>
    </r>
    <r>
      <rPr>
        <sz val="11"/>
        <color indexed="8"/>
        <rFont val="新細明體"/>
        <family val="1"/>
      </rPr>
      <t>、</t>
    </r>
    <r>
      <rPr>
        <sz val="11"/>
        <color indexed="8"/>
        <rFont val="標楷體"/>
        <family val="4"/>
      </rPr>
      <t>碳粉匣、影印機費及年節送禮等雜項支出實際耗用較少所致</t>
    </r>
  </si>
  <si>
    <r>
      <t>111學年度老舊線路更新</t>
    </r>
    <r>
      <rPr>
        <sz val="11"/>
        <color indexed="8"/>
        <rFont val="新細明體"/>
        <family val="1"/>
      </rPr>
      <t>、</t>
    </r>
    <r>
      <rPr>
        <sz val="11"/>
        <color indexed="8"/>
        <rFont val="標楷體"/>
        <family val="4"/>
      </rPr>
      <t>實習大樓水管更換及壁癌清理等費用未耗用所致</t>
    </r>
    <r>
      <rPr>
        <sz val="11"/>
        <color indexed="8"/>
        <rFont val="標楷體"/>
        <family val="4"/>
      </rPr>
      <t>。</t>
    </r>
  </si>
  <si>
    <t>依人數提列保險費</t>
  </si>
  <si>
    <t>111學年度內部及外部講師費與技能競賽活動費由優質化經費支應</t>
  </si>
  <si>
    <t>112學年度增列數位行銷費用及招生易拉架</t>
  </si>
  <si>
    <t>1.112學年度辦公室搬遷增加垃圾清運費
2.因疫情關係增加清潔及消毒等費用</t>
  </si>
  <si>
    <t>112學年度折舊增加</t>
  </si>
  <si>
    <t>112學年度將增加行政人員</t>
  </si>
  <si>
    <t>111學年度因疫情部份課程混成上課，部份學生無須投保，故代辦保險費減少</t>
  </si>
  <si>
    <t>111學年度未做冷氣清洗</t>
  </si>
  <si>
    <t>因疫情影響國產署減收111年7~12月租金</t>
  </si>
  <si>
    <t>112學年度無優質化及工業局補助機電科車銑床及推動中小學數位學習精進方案補助款</t>
  </si>
  <si>
    <t>112-1期實際開課數370餘門，112-2期規劃開課數380餘門，預估收益可能增加</t>
  </si>
  <si>
    <t>學生人數增加所致</t>
  </si>
  <si>
    <t>利率調升及新增定期存款，故利息收入增加</t>
  </si>
  <si>
    <t>111學年度，申請人數較少</t>
  </si>
  <si>
    <t>因少子化學生人數不如預期，調整112學年度水電費收費邏輯</t>
  </si>
  <si>
    <t>101及201厠所整建</t>
  </si>
  <si>
    <t>私校補助款(自籌$574,522)</t>
  </si>
  <si>
    <t>實習電動機車二台</t>
  </si>
  <si>
    <t>充實基礎教學實習設備</t>
  </si>
  <si>
    <t>個人電腦</t>
  </si>
  <si>
    <t>電機科</t>
  </si>
  <si>
    <t>餐飲科</t>
  </si>
  <si>
    <t>熱水器</t>
  </si>
  <si>
    <t>綜高補助款
(補助$8,400自籌$3,600)</t>
  </si>
  <si>
    <t>改善校園安全監視器系統</t>
  </si>
  <si>
    <t>私校獎補助款
(補助$136,000自籌設34,000)</t>
  </si>
  <si>
    <t>投影機3臺</t>
  </si>
  <si>
    <t>教務處</t>
  </si>
  <si>
    <t>雷射投影機1臺</t>
  </si>
  <si>
    <t>私校獎補助款
(補助$63,201自籌設19,299)</t>
  </si>
  <si>
    <t>私校獎補助款
(補助$70,000自籌設19,250)</t>
  </si>
  <si>
    <t>窗簾</t>
  </si>
  <si>
    <t>桌上型電腦1臺</t>
  </si>
  <si>
    <t>螢幕4臺</t>
  </si>
  <si>
    <t>課桌椅70組</t>
  </si>
  <si>
    <t>固態式硬碟46顆</t>
  </si>
  <si>
    <t>桌上型記憶體45支</t>
  </si>
  <si>
    <t>依退休撫卹之規定提列</t>
  </si>
  <si>
    <t>國中部</t>
  </si>
  <si>
    <t>國中部201~202教室裝修及辦公室設置</t>
  </si>
  <si>
    <t>105教室裝修</t>
  </si>
  <si>
    <t>116創發辦公室裝修</t>
  </si>
  <si>
    <t>216教室裝修</t>
  </si>
  <si>
    <t>208隔音牆</t>
  </si>
  <si>
    <t>學務處辦公室裝修</t>
  </si>
  <si>
    <t>317科辦公室裝修</t>
  </si>
  <si>
    <t>417科辦公室裝修</t>
  </si>
  <si>
    <t>教育部補助款資本門100,000，部份自籌5,850</t>
  </si>
  <si>
    <t>教育部獎勵110,600，部份自籌89,400</t>
  </si>
  <si>
    <t>折疊桌10張</t>
  </si>
  <si>
    <t>折疊椅25張</t>
  </si>
  <si>
    <t>106教室冷氣4台</t>
  </si>
  <si>
    <t xml:space="preserve">214教室投影機及布幕  </t>
  </si>
  <si>
    <t>214教室黑板</t>
  </si>
  <si>
    <t>教育局評鑑獎勵金資本門233,500</t>
  </si>
  <si>
    <t>自籌</t>
  </si>
  <si>
    <t>國中部學生圖書</t>
  </si>
  <si>
    <t>國中部</t>
  </si>
  <si>
    <t>校慶來賓禮品實際耗用較少，另教職員校慶相關費用部份由家長會支付。</t>
  </si>
  <si>
    <t>112學年度增加無界墊教室及相關場地使用分攤水電費</t>
  </si>
  <si>
    <t>(1)一年級310人、二年級278人、三年級212人，國中部20人，合計820人。</t>
  </si>
  <si>
    <t>(3)什費：工科、餐飲科@3,365，廣設科3,300元，觀光科、照服科@3,250元，綜高一4,620元、二及三年級@4,900元；國中部57,764元。</t>
  </si>
  <si>
    <t>112學年度因疫情趨緩，雖未達營運規模之收案人數，但日服務人次尚屬穩定，同時嚴格控管各項經費預算</t>
  </si>
  <si>
    <t>增加教室場地使用</t>
  </si>
  <si>
    <t>1.私校補助款$3,066,272、充實設備補助款$348,000、綜合高中補助款資本門$12,000、社大補助款資本門$444,100</t>
  </si>
  <si>
    <t>預計長期營運資產變動表(修訂後)</t>
  </si>
  <si>
    <t>係因113年2月建置照顧服務員單一級證照術科檢定場，照服科增加機械儀器設備新臺幣771,000元，增加雜項設備新臺幣590,400元，故增加機械儀器及雜項設備新臺幣1,361,400，修訂後機械儀器及雜項設備新臺幣2,696,650。</t>
  </si>
  <si>
    <t>QCPR全身心肺復甦安妮+單機版監測儀</t>
  </si>
  <si>
    <t>帶鼻胃管假病人</t>
  </si>
  <si>
    <t>軟質模擬假病人</t>
  </si>
  <si>
    <t>照服科</t>
  </si>
  <si>
    <t>居家式三搖桿床(含床墊)4台</t>
  </si>
  <si>
    <t>熱水器1台</t>
  </si>
  <si>
    <t>洗手檯4組</t>
  </si>
  <si>
    <t>洗手檯(冷熱)2組</t>
  </si>
  <si>
    <t>調理檯4組</t>
  </si>
  <si>
    <t>照服科術科場地設施工程1式</t>
  </si>
  <si>
    <t>預計增置重要長期營運資產明細表 (修訂後)</t>
  </si>
  <si>
    <t>新增
113年2月建置照顧服務員單一級證照術科檢定場，照服科增加雜項設備新臺幣590,400元</t>
  </si>
  <si>
    <t>新增
113年2月建置照顧服務員單一級證照術科檢定場，照服科增加機械儀器設備新臺幣771,000元</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</si>
</sst>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0000"/>
    <numFmt numFmtId="177" formatCode="0.00000"/>
    <numFmt numFmtId="178" formatCode="0.0000"/>
    <numFmt numFmtId="179" formatCode="0.000"/>
    <numFmt numFmtId="180" formatCode="_-* #,##0.0_-;\-* #,##0.0_-;_-* &quot;-&quot;??_-;_-@_-"/>
    <numFmt numFmtId="181" formatCode="_-* #,##0_-;\-* #,##0_-;_-* &quot;-&quot;??_-;_-@_-"/>
    <numFmt numFmtId="182" formatCode="#,##0_);[Red]\(#,##0\)"/>
    <numFmt numFmtId="183" formatCode="0.00_);[Red]\(0.00\)"/>
    <numFmt numFmtId="184" formatCode="0.0"/>
    <numFmt numFmtId="185" formatCode="#,##0.0_);[Red]\(#,##0.0\)"/>
    <numFmt numFmtId="186" formatCode="#,##0.00_);[Red]\(#,##0.00\)"/>
    <numFmt numFmtId="187" formatCode="#,##0.0"/>
    <numFmt numFmtId="188" formatCode="#,##0.000"/>
  </numFmts>
  <fonts count="73">
    <font>
      <sz val="12"/>
      <color theme="1"/>
      <name val="Calibri"/>
      <family val="1"/>
    </font>
    <font>
      <sz val="12"/>
      <color indexed="8"/>
      <name val="新細明體"/>
      <family val="1"/>
    </font>
    <font>
      <sz val="9"/>
      <name val="新細明體"/>
      <family val="1"/>
    </font>
    <font>
      <sz val="12"/>
      <name val="新細明體"/>
      <family val="1"/>
    </font>
    <font>
      <sz val="11"/>
      <name val="Times New Roman"/>
      <family val="1"/>
    </font>
    <font>
      <b/>
      <sz val="16"/>
      <color indexed="8"/>
      <name val="標楷體"/>
      <family val="4"/>
    </font>
    <font>
      <sz val="14"/>
      <color indexed="8"/>
      <name val="標楷體"/>
      <family val="4"/>
    </font>
    <font>
      <sz val="12"/>
      <color indexed="8"/>
      <name val="標楷體"/>
      <family val="4"/>
    </font>
    <font>
      <b/>
      <sz val="12"/>
      <color indexed="8"/>
      <name val="標楷體"/>
      <family val="4"/>
    </font>
    <font>
      <sz val="12"/>
      <name val="標楷體"/>
      <family val="4"/>
    </font>
    <font>
      <sz val="9"/>
      <name val="Tahoma"/>
      <family val="2"/>
    </font>
    <font>
      <b/>
      <sz val="9"/>
      <name val="Tahoma"/>
      <family val="2"/>
    </font>
    <font>
      <sz val="9"/>
      <name val="細明體"/>
      <family val="3"/>
    </font>
    <font>
      <b/>
      <sz val="12"/>
      <name val="標楷體"/>
      <family val="4"/>
    </font>
    <font>
      <sz val="10"/>
      <name val="標楷體"/>
      <family val="4"/>
    </font>
    <font>
      <sz val="10"/>
      <name val="Times New Roman"/>
      <family val="1"/>
    </font>
    <font>
      <sz val="11"/>
      <name val="標楷體"/>
      <family val="4"/>
    </font>
    <font>
      <sz val="11"/>
      <color indexed="8"/>
      <name val="標楷體"/>
      <family val="4"/>
    </font>
    <font>
      <b/>
      <sz val="14"/>
      <name val="標楷體"/>
      <family val="4"/>
    </font>
    <font>
      <b/>
      <sz val="11"/>
      <name val="標楷體"/>
      <family val="4"/>
    </font>
    <font>
      <sz val="11"/>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0"/>
      <name val="新細明體"/>
      <family val="1"/>
    </font>
    <font>
      <b/>
      <sz val="11"/>
      <color indexed="8"/>
      <name val="標楷體"/>
      <family val="4"/>
    </font>
    <font>
      <sz val="10"/>
      <color indexed="8"/>
      <name val="標楷體"/>
      <family val="4"/>
    </font>
    <font>
      <sz val="9"/>
      <color indexed="8"/>
      <name val="標楷體"/>
      <family val="4"/>
    </font>
    <font>
      <b/>
      <sz val="11"/>
      <color indexed="10"/>
      <name val="標楷體"/>
      <family val="4"/>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Calibri"/>
      <family val="1"/>
    </font>
    <font>
      <sz val="12"/>
      <color theme="1"/>
      <name val="標楷體"/>
      <family val="4"/>
    </font>
    <font>
      <b/>
      <sz val="12"/>
      <color theme="1"/>
      <name val="標楷體"/>
      <family val="4"/>
    </font>
    <font>
      <sz val="11"/>
      <color theme="1"/>
      <name val="標楷體"/>
      <family val="4"/>
    </font>
    <font>
      <b/>
      <sz val="11"/>
      <color theme="1"/>
      <name val="標楷體"/>
      <family val="4"/>
    </font>
    <font>
      <sz val="11"/>
      <color theme="1"/>
      <name val="Calibri"/>
      <family val="1"/>
    </font>
    <font>
      <sz val="10"/>
      <color theme="1"/>
      <name val="標楷體"/>
      <family val="4"/>
    </font>
    <font>
      <sz val="9"/>
      <color theme="1"/>
      <name val="標楷體"/>
      <family val="4"/>
    </font>
    <font>
      <b/>
      <sz val="11"/>
      <color rgb="FFFF0000"/>
      <name val="標楷體"/>
      <family val="4"/>
    </font>
    <font>
      <b/>
      <sz val="16"/>
      <color theme="1"/>
      <name val="標楷體"/>
      <family val="4"/>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rgb="FFFFFF99"/>
        <bgColor indexed="64"/>
      </patternFill>
    </fill>
  </fills>
  <borders count="6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style="thin"/>
      <right>
        <color indexed="63"/>
      </right>
      <top style="thin"/>
      <bottom style="thin"/>
    </border>
    <border>
      <left style="double"/>
      <right>
        <color indexed="63"/>
      </right>
      <top style="thin"/>
      <bottom style="thin"/>
    </border>
    <border>
      <left>
        <color indexed="63"/>
      </left>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style="thin"/>
      <top style="thin"/>
      <bottom style="thin"/>
    </border>
    <border>
      <left style="medium"/>
      <right>
        <color indexed="63"/>
      </right>
      <top style="thin"/>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thin"/>
      <right style="thin"/>
      <top>
        <color indexed="63"/>
      </top>
      <bottom style="thin"/>
    </border>
    <border>
      <left style="double"/>
      <right>
        <color indexed="63"/>
      </right>
      <top style="thin"/>
      <bottom>
        <color indexed="63"/>
      </bottom>
    </border>
    <border>
      <left style="medium"/>
      <right style="thin"/>
      <top style="thin"/>
      <bottom style="medium"/>
    </border>
    <border>
      <left style="thin"/>
      <right style="medium"/>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border>
    <border>
      <left style="thin"/>
      <right style="thin"/>
      <top style="thin"/>
      <bottom style="double"/>
    </border>
    <border>
      <left>
        <color indexed="63"/>
      </left>
      <right style="thin"/>
      <top style="thin"/>
      <bottom style="medium"/>
    </border>
    <border>
      <left style="medium"/>
      <right style="thin"/>
      <top style="medium"/>
      <bottom style="thin"/>
    </border>
    <border>
      <left style="thin"/>
      <right style="thin"/>
      <top style="medium"/>
      <bottom>
        <color indexed="63"/>
      </bottom>
    </border>
    <border>
      <left style="medium"/>
      <right>
        <color indexed="63"/>
      </right>
      <top style="thin"/>
      <bottom style="medium"/>
    </border>
    <border>
      <left>
        <color indexed="63"/>
      </left>
      <right>
        <color indexed="63"/>
      </right>
      <top style="medium"/>
      <bottom>
        <color indexed="63"/>
      </bottom>
    </border>
    <border>
      <left style="medium"/>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thin"/>
      <right style="medium"/>
      <top/>
      <bottom/>
    </border>
    <border>
      <left style="thin"/>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43" fontId="0" fillId="0" borderId="0" applyFont="0" applyFill="0" applyBorder="0" applyAlignment="0" applyProtection="0"/>
    <xf numFmtId="43" fontId="3"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20" borderId="0" applyNumberFormat="0" applyBorder="0" applyAlignment="0" applyProtection="0"/>
    <xf numFmtId="0" fontId="47" fillId="0" borderId="1" applyNumberFormat="0" applyFill="0" applyAlignment="0" applyProtection="0"/>
    <xf numFmtId="0" fontId="48" fillId="21" borderId="0" applyNumberFormat="0" applyBorder="0" applyAlignment="0" applyProtection="0"/>
    <xf numFmtId="9" fontId="0" fillId="0" borderId="0" applyFont="0" applyFill="0" applyBorder="0" applyAlignment="0" applyProtection="0"/>
    <xf numFmtId="0" fontId="4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0" fillId="23" borderId="4" applyNumberFormat="0" applyFon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2" applyNumberFormat="0" applyAlignment="0" applyProtection="0"/>
    <xf numFmtId="0" fontId="58" fillId="22" borderId="8" applyNumberFormat="0" applyAlignment="0" applyProtection="0"/>
    <xf numFmtId="0" fontId="59" fillId="31" borderId="9" applyNumberFormat="0" applyAlignment="0" applyProtection="0"/>
    <xf numFmtId="0" fontId="60" fillId="32" borderId="0" applyNumberFormat="0" applyBorder="0" applyAlignment="0" applyProtection="0"/>
    <xf numFmtId="0" fontId="61" fillId="0" borderId="0" applyNumberFormat="0" applyFill="0" applyBorder="0" applyAlignment="0" applyProtection="0"/>
  </cellStyleXfs>
  <cellXfs count="373">
    <xf numFmtId="0" fontId="0" fillId="0" borderId="0" xfId="0" applyFont="1" applyAlignment="1">
      <alignment vertical="center"/>
    </xf>
    <xf numFmtId="0" fontId="0" fillId="0" borderId="0" xfId="0" applyAlignment="1">
      <alignment horizontal="center" vertical="center"/>
    </xf>
    <xf numFmtId="0" fontId="62" fillId="0" borderId="0" xfId="0" applyFont="1" applyAlignment="1">
      <alignment vertical="center"/>
    </xf>
    <xf numFmtId="0" fontId="4" fillId="0" borderId="10" xfId="0" applyFont="1" applyBorder="1" applyAlignment="1">
      <alignment horizontal="center" vertical="center"/>
    </xf>
    <xf numFmtId="0" fontId="0" fillId="0" borderId="0" xfId="0" applyAlignment="1">
      <alignment vertical="center"/>
    </xf>
    <xf numFmtId="0" fontId="9" fillId="0" borderId="10" xfId="0" applyFont="1" applyBorder="1" applyAlignment="1">
      <alignment horizontal="center" vertical="center"/>
    </xf>
    <xf numFmtId="3" fontId="63" fillId="0" borderId="10" xfId="0" applyNumberFormat="1" applyFont="1" applyBorder="1" applyAlignment="1">
      <alignment vertical="center"/>
    </xf>
    <xf numFmtId="0" fontId="64" fillId="0" borderId="10" xfId="0" applyFont="1" applyBorder="1" applyAlignment="1" quotePrefix="1">
      <alignment vertical="center"/>
    </xf>
    <xf numFmtId="0" fontId="63" fillId="0" borderId="10" xfId="0" applyFont="1" applyBorder="1" applyAlignment="1" quotePrefix="1">
      <alignment vertical="center"/>
    </xf>
    <xf numFmtId="181" fontId="63" fillId="0" borderId="10" xfId="39" applyNumberFormat="1" applyFont="1" applyBorder="1" applyAlignment="1">
      <alignment vertical="center"/>
    </xf>
    <xf numFmtId="0" fontId="14" fillId="0" borderId="0" xfId="37" applyFont="1" applyFill="1">
      <alignment vertical="center"/>
      <protection/>
    </xf>
    <xf numFmtId="0" fontId="14" fillId="0" borderId="11" xfId="37" applyFont="1" applyFill="1" applyBorder="1" applyAlignment="1">
      <alignment horizontal="center" vertical="center"/>
      <protection/>
    </xf>
    <xf numFmtId="0" fontId="14" fillId="0" borderId="10" xfId="37" applyFont="1" applyFill="1" applyBorder="1" applyAlignment="1">
      <alignment horizontal="center" vertical="center"/>
      <protection/>
    </xf>
    <xf numFmtId="181" fontId="14" fillId="0" borderId="10" xfId="40" applyNumberFormat="1" applyFont="1" applyFill="1" applyBorder="1" applyAlignment="1">
      <alignment horizontal="center" vertical="center"/>
    </xf>
    <xf numFmtId="0" fontId="14" fillId="0" borderId="12" xfId="37" applyFont="1" applyFill="1" applyBorder="1" applyAlignment="1">
      <alignment horizontal="center" vertical="center"/>
      <protection/>
    </xf>
    <xf numFmtId="181" fontId="14" fillId="0" borderId="12" xfId="37" applyNumberFormat="1" applyFont="1" applyFill="1" applyBorder="1" applyAlignment="1">
      <alignment horizontal="center" vertical="center"/>
      <protection/>
    </xf>
    <xf numFmtId="0" fontId="14" fillId="0" borderId="13" xfId="37" applyFont="1" applyFill="1" applyBorder="1" applyAlignment="1">
      <alignment horizontal="center" vertical="center"/>
      <protection/>
    </xf>
    <xf numFmtId="181" fontId="14" fillId="0" borderId="14" xfId="37" applyNumberFormat="1" applyFont="1" applyFill="1" applyBorder="1" applyAlignment="1">
      <alignment horizontal="center" vertical="center"/>
      <protection/>
    </xf>
    <xf numFmtId="0" fontId="14" fillId="0" borderId="0" xfId="37" applyFont="1" applyFill="1" applyAlignment="1">
      <alignment horizontal="center" vertical="center"/>
      <protection/>
    </xf>
    <xf numFmtId="182" fontId="14" fillId="0" borderId="11" xfId="37" applyNumberFormat="1" applyFont="1" applyFill="1" applyBorder="1" applyAlignment="1">
      <alignment horizontal="center" vertical="center"/>
      <protection/>
    </xf>
    <xf numFmtId="182" fontId="14" fillId="0" borderId="10" xfId="40" applyNumberFormat="1" applyFont="1" applyFill="1" applyBorder="1" applyAlignment="1">
      <alignment vertical="center"/>
    </xf>
    <xf numFmtId="182" fontId="14" fillId="0" borderId="10" xfId="37" applyNumberFormat="1" applyFont="1" applyFill="1" applyBorder="1">
      <alignment vertical="center"/>
      <protection/>
    </xf>
    <xf numFmtId="182" fontId="14" fillId="0" borderId="12" xfId="37" applyNumberFormat="1" applyFont="1" applyFill="1" applyBorder="1" applyAlignment="1">
      <alignment horizontal="right" vertical="center"/>
      <protection/>
    </xf>
    <xf numFmtId="181" fontId="14" fillId="0" borderId="0" xfId="40" applyNumberFormat="1" applyFont="1" applyFill="1" applyAlignment="1">
      <alignment vertical="center"/>
    </xf>
    <xf numFmtId="182" fontId="14" fillId="0" borderId="15" xfId="37" applyNumberFormat="1" applyFont="1" applyFill="1" applyBorder="1">
      <alignment vertical="center"/>
      <protection/>
    </xf>
    <xf numFmtId="182" fontId="14" fillId="0" borderId="16" xfId="37" applyNumberFormat="1" applyFont="1" applyFill="1" applyBorder="1" applyAlignment="1">
      <alignment vertical="center"/>
      <protection/>
    </xf>
    <xf numFmtId="181" fontId="14" fillId="0" borderId="0" xfId="40" applyNumberFormat="1" applyFont="1" applyFill="1" applyBorder="1" applyAlignment="1">
      <alignment horizontal="left" vertical="center"/>
    </xf>
    <xf numFmtId="0" fontId="63" fillId="0" borderId="0" xfId="0" applyFont="1" applyAlignment="1">
      <alignment vertical="center"/>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3" fontId="65" fillId="0" borderId="10" xfId="0" applyNumberFormat="1" applyFont="1" applyBorder="1" applyAlignment="1">
      <alignment vertical="center"/>
    </xf>
    <xf numFmtId="0" fontId="65" fillId="0" borderId="10" xfId="0" applyFont="1" applyBorder="1" applyAlignment="1">
      <alignment vertical="center"/>
    </xf>
    <xf numFmtId="0" fontId="63" fillId="0" borderId="0" xfId="0" applyFont="1" applyAlignment="1">
      <alignment/>
    </xf>
    <xf numFmtId="3" fontId="65" fillId="0" borderId="10" xfId="0" applyNumberFormat="1" applyFont="1" applyBorder="1" applyAlignment="1">
      <alignment vertical="center" wrapText="1"/>
    </xf>
    <xf numFmtId="0" fontId="65" fillId="0" borderId="10" xfId="36" applyFont="1" applyBorder="1">
      <alignment vertical="center"/>
      <protection/>
    </xf>
    <xf numFmtId="0" fontId="65" fillId="0" borderId="10" xfId="0" applyFont="1" applyBorder="1" applyAlignment="1">
      <alignment horizontal="left" vertical="center" wrapText="1"/>
    </xf>
    <xf numFmtId="3" fontId="65" fillId="0" borderId="10" xfId="0" applyNumberFormat="1" applyFont="1" applyBorder="1" applyAlignment="1">
      <alignment horizontal="right" vertical="center" wrapText="1"/>
    </xf>
    <xf numFmtId="0" fontId="63" fillId="0" borderId="0" xfId="0" applyFont="1" applyAlignment="1">
      <alignment vertical="center" wrapText="1"/>
    </xf>
    <xf numFmtId="181" fontId="65" fillId="0" borderId="10" xfId="39" applyNumberFormat="1" applyFont="1" applyBorder="1" applyAlignment="1">
      <alignment horizontal="right" vertical="center" wrapText="1"/>
    </xf>
    <xf numFmtId="0" fontId="63" fillId="0" borderId="10" xfId="0" applyFont="1" applyBorder="1" applyAlignment="1">
      <alignment vertical="center"/>
    </xf>
    <xf numFmtId="181" fontId="9" fillId="0" borderId="10" xfId="39" applyNumberFormat="1" applyFont="1" applyBorder="1" applyAlignment="1">
      <alignment horizontal="center" vertical="center" wrapText="1"/>
    </xf>
    <xf numFmtId="181" fontId="63" fillId="0" borderId="0" xfId="0" applyNumberFormat="1" applyFont="1" applyAlignment="1">
      <alignment vertical="center"/>
    </xf>
    <xf numFmtId="0" fontId="0" fillId="0" borderId="0" xfId="0" applyFont="1" applyAlignment="1">
      <alignment vertical="center"/>
    </xf>
    <xf numFmtId="181" fontId="16" fillId="0" borderId="10" xfId="39" applyNumberFormat="1" applyFont="1" applyBorder="1" applyAlignment="1">
      <alignment horizontal="center" vertical="center" wrapText="1"/>
    </xf>
    <xf numFmtId="181" fontId="16" fillId="0" borderId="10" xfId="39" applyNumberFormat="1" applyFont="1" applyBorder="1" applyAlignment="1">
      <alignment horizontal="right" vertical="center" wrapText="1"/>
    </xf>
    <xf numFmtId="181" fontId="16" fillId="0" borderId="10" xfId="39" applyNumberFormat="1" applyFont="1" applyBorder="1" applyAlignment="1">
      <alignment horizontal="center" vertical="center"/>
    </xf>
    <xf numFmtId="181" fontId="16" fillId="33" borderId="10" xfId="39" applyNumberFormat="1" applyFont="1" applyFill="1" applyBorder="1" applyAlignment="1">
      <alignment horizontal="right" vertical="center"/>
    </xf>
    <xf numFmtId="0" fontId="17" fillId="0" borderId="10" xfId="0" applyFont="1" applyBorder="1" applyAlignment="1">
      <alignment horizontal="center" vertical="center"/>
    </xf>
    <xf numFmtId="0" fontId="63" fillId="0" borderId="15" xfId="0" applyFont="1" applyBorder="1" applyAlignment="1">
      <alignment horizontal="left" vertical="center" wrapText="1"/>
    </xf>
    <xf numFmtId="181" fontId="16" fillId="0" borderId="10" xfId="39" applyNumberFormat="1" applyFont="1" applyFill="1" applyBorder="1" applyAlignment="1">
      <alignment horizontal="center" vertical="center"/>
    </xf>
    <xf numFmtId="181" fontId="65" fillId="0" borderId="10" xfId="39" applyNumberFormat="1" applyFont="1" applyFill="1" applyBorder="1" applyAlignment="1">
      <alignment horizontal="center" vertical="center"/>
    </xf>
    <xf numFmtId="0" fontId="65" fillId="0" borderId="17" xfId="0" applyFont="1" applyFill="1" applyBorder="1" applyAlignment="1">
      <alignment vertical="center" wrapText="1"/>
    </xf>
    <xf numFmtId="0" fontId="16" fillId="0" borderId="18" xfId="0" applyFont="1" applyFill="1" applyBorder="1" applyAlignment="1">
      <alignment horizontal="left" vertical="center"/>
    </xf>
    <xf numFmtId="0" fontId="16" fillId="0" borderId="17" xfId="0" applyFont="1" applyFill="1" applyBorder="1" applyAlignment="1">
      <alignment vertical="center" wrapText="1"/>
    </xf>
    <xf numFmtId="0" fontId="19" fillId="0" borderId="19" xfId="0" applyFont="1" applyBorder="1" applyAlignment="1">
      <alignment horizontal="center" vertical="center"/>
    </xf>
    <xf numFmtId="0" fontId="66" fillId="0" borderId="19" xfId="0" applyFont="1" applyBorder="1" applyAlignment="1">
      <alignment horizontal="center" vertical="center"/>
    </xf>
    <xf numFmtId="181" fontId="19" fillId="0" borderId="19" xfId="39" applyNumberFormat="1" applyFont="1" applyBorder="1" applyAlignment="1">
      <alignment horizontal="center" vertical="center"/>
    </xf>
    <xf numFmtId="0" fontId="19" fillId="0" borderId="20" xfId="0" applyFont="1" applyBorder="1" applyAlignment="1">
      <alignment horizontal="center" vertical="center"/>
    </xf>
    <xf numFmtId="0" fontId="66" fillId="0" borderId="21" xfId="0" applyFont="1" applyBorder="1" applyAlignment="1">
      <alignment vertical="center"/>
    </xf>
    <xf numFmtId="0" fontId="67" fillId="0" borderId="0" xfId="0" applyFont="1" applyBorder="1" applyAlignment="1">
      <alignment horizontal="center" vertical="center"/>
    </xf>
    <xf numFmtId="0" fontId="19" fillId="0" borderId="22" xfId="0" applyFont="1" applyBorder="1" applyAlignment="1">
      <alignment vertical="center"/>
    </xf>
    <xf numFmtId="0" fontId="4" fillId="0" borderId="18" xfId="0" applyFont="1" applyBorder="1" applyAlignment="1">
      <alignment vertical="center"/>
    </xf>
    <xf numFmtId="0" fontId="65" fillId="0" borderId="23" xfId="0" applyFont="1" applyBorder="1" applyAlignment="1">
      <alignment/>
    </xf>
    <xf numFmtId="0" fontId="65" fillId="0" borderId="23" xfId="0" applyFont="1" applyFill="1" applyBorder="1" applyAlignment="1">
      <alignment vertical="center"/>
    </xf>
    <xf numFmtId="0" fontId="65" fillId="0" borderId="18" xfId="0" applyFont="1" applyFill="1" applyBorder="1" applyAlignment="1">
      <alignment horizontal="center" vertical="center"/>
    </xf>
    <xf numFmtId="0" fontId="65" fillId="0" borderId="23" xfId="0" applyFont="1" applyFill="1" applyBorder="1" applyAlignment="1">
      <alignment vertical="center" wrapText="1"/>
    </xf>
    <xf numFmtId="0" fontId="19" fillId="0" borderId="23" xfId="0" applyFont="1" applyFill="1" applyBorder="1" applyAlignment="1">
      <alignment vertical="center"/>
    </xf>
    <xf numFmtId="0" fontId="65" fillId="0" borderId="18" xfId="0" applyFont="1" applyBorder="1" applyAlignment="1">
      <alignment horizontal="center" vertical="center"/>
    </xf>
    <xf numFmtId="0" fontId="19" fillId="0" borderId="24" xfId="0" applyFont="1" applyBorder="1" applyAlignment="1">
      <alignment horizontal="center" vertical="center"/>
    </xf>
    <xf numFmtId="0" fontId="13" fillId="0" borderId="10" xfId="0" applyFont="1" applyBorder="1" applyAlignment="1">
      <alignment horizontal="center" vertical="center"/>
    </xf>
    <xf numFmtId="3" fontId="63" fillId="0" borderId="10" xfId="0" applyNumberFormat="1" applyFont="1" applyBorder="1" applyAlignment="1">
      <alignment vertical="center" wrapText="1"/>
    </xf>
    <xf numFmtId="3" fontId="63" fillId="0" borderId="15" xfId="35" applyNumberFormat="1" applyFont="1" applyBorder="1">
      <alignment vertical="center"/>
      <protection/>
    </xf>
    <xf numFmtId="0" fontId="63" fillId="0" borderId="15" xfId="38" applyFont="1" applyBorder="1">
      <alignment vertical="center"/>
      <protection/>
    </xf>
    <xf numFmtId="0" fontId="63" fillId="0" borderId="15" xfId="0" applyFont="1" applyBorder="1" applyAlignment="1">
      <alignment vertical="center"/>
    </xf>
    <xf numFmtId="0" fontId="68" fillId="0" borderId="15" xfId="0" applyFont="1" applyBorder="1" applyAlignment="1">
      <alignment vertical="center"/>
    </xf>
    <xf numFmtId="0" fontId="63" fillId="0" borderId="15" xfId="0" applyFont="1" applyBorder="1" applyAlignment="1">
      <alignment vertical="center" wrapText="1"/>
    </xf>
    <xf numFmtId="0" fontId="63" fillId="0" borderId="17" xfId="0" applyFont="1" applyBorder="1" applyAlignment="1">
      <alignment vertical="center"/>
    </xf>
    <xf numFmtId="3" fontId="63" fillId="0" borderId="17" xfId="35" applyNumberFormat="1" applyFont="1" applyBorder="1">
      <alignment vertical="center"/>
      <protection/>
    </xf>
    <xf numFmtId="0" fontId="7" fillId="0" borderId="17" xfId="38" applyFont="1" applyBorder="1">
      <alignment vertical="center"/>
      <protection/>
    </xf>
    <xf numFmtId="0" fontId="63" fillId="0" borderId="17" xfId="0" applyFont="1" applyBorder="1" applyAlignment="1">
      <alignment vertical="center" wrapText="1"/>
    </xf>
    <xf numFmtId="0" fontId="9" fillId="0" borderId="18" xfId="0" applyFont="1" applyBorder="1" applyAlignment="1">
      <alignment horizontal="center" vertical="center"/>
    </xf>
    <xf numFmtId="3" fontId="63" fillId="0" borderId="22" xfId="0" applyNumberFormat="1" applyFont="1" applyBorder="1" applyAlignment="1">
      <alignment vertical="center"/>
    </xf>
    <xf numFmtId="2" fontId="63" fillId="0" borderId="18" xfId="0" applyNumberFormat="1" applyFont="1" applyBorder="1" applyAlignment="1">
      <alignment vertical="center"/>
    </xf>
    <xf numFmtId="0" fontId="64" fillId="0" borderId="24" xfId="0" applyFont="1" applyBorder="1" applyAlignment="1" quotePrefix="1">
      <alignment vertical="center"/>
    </xf>
    <xf numFmtId="182" fontId="63" fillId="0" borderId="24" xfId="39" applyNumberFormat="1" applyFont="1" applyBorder="1" applyAlignment="1">
      <alignment vertical="center"/>
    </xf>
    <xf numFmtId="2" fontId="63" fillId="0" borderId="25" xfId="0" applyNumberFormat="1" applyFont="1" applyBorder="1" applyAlignment="1">
      <alignment vertical="center"/>
    </xf>
    <xf numFmtId="182" fontId="63" fillId="0" borderId="10" xfId="0" applyNumberFormat="1" applyFont="1" applyBorder="1" applyAlignment="1">
      <alignment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8" xfId="0" applyFont="1" applyBorder="1" applyAlignment="1">
      <alignment horizontal="center" vertical="center" wrapText="1"/>
    </xf>
    <xf numFmtId="0" fontId="63" fillId="0" borderId="22" xfId="0" applyFont="1" applyBorder="1" applyAlignment="1" quotePrefix="1">
      <alignment vertical="center"/>
    </xf>
    <xf numFmtId="0" fontId="63" fillId="0" borderId="18" xfId="0" applyFont="1" applyBorder="1" applyAlignment="1" quotePrefix="1">
      <alignment vertical="center"/>
    </xf>
    <xf numFmtId="3" fontId="63" fillId="0" borderId="0" xfId="33" applyNumberFormat="1" applyFont="1" applyBorder="1">
      <alignment vertical="center"/>
      <protection/>
    </xf>
    <xf numFmtId="3" fontId="63" fillId="0" borderId="24" xfId="0" applyNumberFormat="1" applyFont="1" applyBorder="1" applyAlignment="1">
      <alignment vertical="center"/>
    </xf>
    <xf numFmtId="0" fontId="63" fillId="0" borderId="25" xfId="0" applyFont="1" applyBorder="1" applyAlignment="1" quotePrefix="1">
      <alignment vertical="center"/>
    </xf>
    <xf numFmtId="0" fontId="63" fillId="0" borderId="17" xfId="0" applyFont="1" applyBorder="1" applyAlignment="1" quotePrefix="1">
      <alignment vertical="center"/>
    </xf>
    <xf numFmtId="0" fontId="63" fillId="0" borderId="23" xfId="0" applyFont="1" applyBorder="1" applyAlignment="1" quotePrefix="1">
      <alignment vertical="center"/>
    </xf>
    <xf numFmtId="0" fontId="65" fillId="0" borderId="25" xfId="0" applyFont="1" applyFill="1" applyBorder="1" applyAlignment="1">
      <alignment horizontal="left" vertical="center" wrapText="1"/>
    </xf>
    <xf numFmtId="0" fontId="63" fillId="0" borderId="26" xfId="0" applyFont="1" applyBorder="1" applyAlignment="1">
      <alignment vertical="center"/>
    </xf>
    <xf numFmtId="0" fontId="63" fillId="0" borderId="26" xfId="0" applyFont="1" applyBorder="1" applyAlignment="1">
      <alignment vertical="center" wrapText="1"/>
    </xf>
    <xf numFmtId="3" fontId="63" fillId="0" borderId="26" xfId="35" applyNumberFormat="1" applyFont="1" applyBorder="1">
      <alignment vertical="center"/>
      <protection/>
    </xf>
    <xf numFmtId="0" fontId="63" fillId="0" borderId="15" xfId="0" applyFont="1" applyBorder="1" applyAlignment="1">
      <alignment vertical="center"/>
    </xf>
    <xf numFmtId="0" fontId="63" fillId="0" borderId="26" xfId="0" applyFont="1" applyBorder="1" applyAlignment="1">
      <alignment vertical="center"/>
    </xf>
    <xf numFmtId="0" fontId="63" fillId="0" borderId="17" xfId="0" applyFont="1" applyBorder="1" applyAlignment="1">
      <alignment vertical="center"/>
    </xf>
    <xf numFmtId="181" fontId="65" fillId="0" borderId="27" xfId="39" applyNumberFormat="1" applyFont="1" applyFill="1" applyBorder="1" applyAlignment="1">
      <alignment horizontal="center" vertical="center"/>
    </xf>
    <xf numFmtId="0" fontId="65" fillId="0" borderId="17" xfId="0" applyFont="1" applyBorder="1" applyAlignment="1">
      <alignment vertical="center"/>
    </xf>
    <xf numFmtId="181" fontId="19" fillId="0" borderId="17" xfId="39" applyNumberFormat="1" applyFont="1" applyBorder="1" applyAlignment="1">
      <alignment horizontal="right" vertical="center"/>
    </xf>
    <xf numFmtId="181" fontId="66" fillId="0" borderId="15" xfId="0" applyNumberFormat="1" applyFont="1" applyBorder="1" applyAlignment="1">
      <alignment horizontal="right" vertical="center"/>
    </xf>
    <xf numFmtId="0" fontId="65" fillId="0" borderId="15" xfId="36" applyFont="1" applyBorder="1">
      <alignment vertical="center"/>
      <protection/>
    </xf>
    <xf numFmtId="0" fontId="65" fillId="0" borderId="17" xfId="36" applyFont="1" applyBorder="1">
      <alignment vertical="center"/>
      <protection/>
    </xf>
    <xf numFmtId="0" fontId="65" fillId="0" borderId="15" xfId="0" applyFont="1" applyBorder="1" applyAlignment="1">
      <alignment horizontal="center" vertical="center" wrapText="1"/>
    </xf>
    <xf numFmtId="0" fontId="65" fillId="0" borderId="26" xfId="0" applyFont="1" applyBorder="1" applyAlignment="1">
      <alignment vertical="center" wrapText="1"/>
    </xf>
    <xf numFmtId="0" fontId="65" fillId="0" borderId="17" xfId="0" applyFont="1" applyBorder="1" applyAlignment="1">
      <alignment vertical="center" wrapText="1"/>
    </xf>
    <xf numFmtId="0" fontId="65" fillId="0" borderId="15" xfId="0" applyFont="1" applyBorder="1" applyAlignment="1">
      <alignment vertical="center" wrapText="1"/>
    </xf>
    <xf numFmtId="0" fontId="65" fillId="0" borderId="26" xfId="0" applyFont="1" applyBorder="1" applyAlignment="1">
      <alignment horizontal="center" vertical="center" wrapText="1"/>
    </xf>
    <xf numFmtId="3" fontId="65" fillId="0" borderId="10" xfId="0" applyNumberFormat="1" applyFont="1" applyBorder="1" applyAlignment="1">
      <alignment horizontal="right" vertical="center"/>
    </xf>
    <xf numFmtId="3" fontId="65" fillId="0" borderId="10" xfId="0" applyNumberFormat="1" applyFont="1" applyBorder="1" applyAlignment="1">
      <alignment vertical="center"/>
    </xf>
    <xf numFmtId="3" fontId="65" fillId="0" borderId="10" xfId="0" applyNumberFormat="1" applyFont="1" applyFill="1" applyBorder="1" applyAlignment="1">
      <alignment horizontal="right" vertical="center"/>
    </xf>
    <xf numFmtId="181" fontId="65" fillId="0" borderId="10" xfId="39" applyNumberFormat="1" applyFont="1" applyFill="1" applyBorder="1" applyAlignment="1">
      <alignment horizontal="right" vertical="center" wrapText="1"/>
    </xf>
    <xf numFmtId="3" fontId="65" fillId="0" borderId="10" xfId="0" applyNumberFormat="1" applyFont="1" applyFill="1" applyBorder="1" applyAlignment="1">
      <alignment vertical="center"/>
    </xf>
    <xf numFmtId="3" fontId="65" fillId="0" borderId="10" xfId="0" applyNumberFormat="1" applyFont="1" applyFill="1" applyBorder="1" applyAlignment="1">
      <alignment vertical="center" wrapText="1"/>
    </xf>
    <xf numFmtId="181" fontId="19" fillId="0" borderId="15" xfId="39" applyNumberFormat="1" applyFont="1" applyBorder="1" applyAlignment="1">
      <alignment horizontal="right" vertical="center"/>
    </xf>
    <xf numFmtId="182" fontId="16" fillId="0" borderId="10" xfId="0" applyNumberFormat="1" applyFont="1" applyBorder="1" applyAlignment="1">
      <alignment horizontal="center" vertical="center"/>
    </xf>
    <xf numFmtId="182" fontId="65" fillId="0" borderId="10" xfId="0" applyNumberFormat="1" applyFont="1" applyBorder="1" applyAlignment="1">
      <alignment vertical="center"/>
    </xf>
    <xf numFmtId="182" fontId="65" fillId="0" borderId="10" xfId="0" applyNumberFormat="1" applyFont="1" applyBorder="1" applyAlignment="1">
      <alignment vertical="center"/>
    </xf>
    <xf numFmtId="182" fontId="63" fillId="0" borderId="0" xfId="0" applyNumberFormat="1" applyFont="1" applyAlignment="1">
      <alignment vertical="center"/>
    </xf>
    <xf numFmtId="182" fontId="65" fillId="0" borderId="10" xfId="0" applyNumberFormat="1" applyFont="1" applyFill="1" applyBorder="1" applyAlignment="1">
      <alignment vertical="center"/>
    </xf>
    <xf numFmtId="182" fontId="16" fillId="0" borderId="10" xfId="0" applyNumberFormat="1" applyFont="1" applyBorder="1" applyAlignment="1">
      <alignment vertical="center"/>
    </xf>
    <xf numFmtId="0" fontId="65" fillId="0" borderId="18" xfId="0" applyFont="1" applyBorder="1" applyAlignment="1">
      <alignment vertical="center" wrapText="1"/>
    </xf>
    <xf numFmtId="0" fontId="63" fillId="0" borderId="0" xfId="0" applyFont="1" applyBorder="1" applyAlignment="1">
      <alignment vertical="center"/>
    </xf>
    <xf numFmtId="3" fontId="63" fillId="0" borderId="10" xfId="0" applyNumberFormat="1" applyFont="1" applyFill="1" applyBorder="1" applyAlignment="1">
      <alignment vertical="center"/>
    </xf>
    <xf numFmtId="3" fontId="63" fillId="0" borderId="10" xfId="35" applyNumberFormat="1" applyFont="1" applyFill="1" applyBorder="1">
      <alignment vertical="center"/>
      <protection/>
    </xf>
    <xf numFmtId="3" fontId="63" fillId="0" borderId="15" xfId="35" applyNumberFormat="1" applyFont="1" applyFill="1" applyBorder="1">
      <alignment vertical="center"/>
      <protection/>
    </xf>
    <xf numFmtId="182" fontId="14" fillId="0" borderId="28" xfId="37" applyNumberFormat="1" applyFont="1" applyFill="1" applyBorder="1" applyAlignment="1">
      <alignment vertical="center"/>
      <protection/>
    </xf>
    <xf numFmtId="181" fontId="63" fillId="0" borderId="0" xfId="39" applyNumberFormat="1" applyFont="1" applyAlignment="1">
      <alignment vertical="center"/>
    </xf>
    <xf numFmtId="0" fontId="66" fillId="0" borderId="0" xfId="0" applyFont="1" applyBorder="1" applyAlignment="1">
      <alignment vertical="center" wrapText="1"/>
    </xf>
    <xf numFmtId="0" fontId="19" fillId="0" borderId="10" xfId="0" applyFont="1" applyBorder="1" applyAlignment="1">
      <alignment vertical="center" wrapText="1"/>
    </xf>
    <xf numFmtId="0" fontId="0" fillId="0" borderId="0" xfId="0" applyAlignment="1">
      <alignment vertical="center" wrapText="1"/>
    </xf>
    <xf numFmtId="0" fontId="16" fillId="0" borderId="18" xfId="0" applyFont="1" applyBorder="1" applyAlignment="1">
      <alignment vertical="center" wrapText="1"/>
    </xf>
    <xf numFmtId="3" fontId="63" fillId="0" borderId="0" xfId="0" applyNumberFormat="1" applyFont="1" applyAlignment="1">
      <alignment vertical="center"/>
    </xf>
    <xf numFmtId="2" fontId="63" fillId="0" borderId="0" xfId="0" applyNumberFormat="1" applyFont="1" applyAlignment="1">
      <alignment vertical="center"/>
    </xf>
    <xf numFmtId="3" fontId="63" fillId="0" borderId="22" xfId="38" applyNumberFormat="1" applyFont="1" applyBorder="1">
      <alignment vertical="center"/>
      <protection/>
    </xf>
    <xf numFmtId="0" fontId="69" fillId="0" borderId="18" xfId="0" applyFont="1" applyBorder="1" applyAlignment="1" quotePrefix="1">
      <alignment vertical="center" wrapText="1"/>
    </xf>
    <xf numFmtId="3" fontId="63" fillId="0" borderId="22" xfId="35" applyNumberFormat="1" applyFont="1" applyBorder="1">
      <alignment vertical="center"/>
      <protection/>
    </xf>
    <xf numFmtId="0" fontId="63" fillId="0" borderId="18" xfId="0" applyFont="1" applyBorder="1" applyAlignment="1" quotePrefix="1">
      <alignment vertical="center" wrapText="1"/>
    </xf>
    <xf numFmtId="3" fontId="63" fillId="0" borderId="22" xfId="38" applyNumberFormat="1" applyFont="1" applyBorder="1" applyAlignment="1">
      <alignment vertical="center" wrapText="1"/>
      <protection/>
    </xf>
    <xf numFmtId="0" fontId="65" fillId="0" borderId="18" xfId="0" applyFont="1" applyBorder="1" applyAlignment="1" quotePrefix="1">
      <alignment vertical="center" wrapText="1"/>
    </xf>
    <xf numFmtId="0" fontId="65" fillId="0" borderId="18" xfId="0" applyFont="1" applyBorder="1" applyAlignment="1">
      <alignment vertical="center"/>
    </xf>
    <xf numFmtId="3" fontId="63" fillId="0" borderId="22" xfId="0" applyNumberFormat="1" applyFont="1" applyBorder="1" applyAlignment="1">
      <alignment vertical="center" wrapText="1"/>
    </xf>
    <xf numFmtId="0" fontId="65" fillId="0" borderId="18" xfId="0" applyFont="1" applyBorder="1" applyAlignment="1">
      <alignment horizontal="left" vertical="center" wrapText="1"/>
    </xf>
    <xf numFmtId="0" fontId="65" fillId="0" borderId="18" xfId="0" applyFont="1" applyBorder="1" applyAlignment="1">
      <alignment horizontal="left" vertical="center"/>
    </xf>
    <xf numFmtId="0" fontId="65" fillId="0" borderId="18" xfId="0" applyFont="1" applyFill="1" applyBorder="1" applyAlignment="1">
      <alignment vertical="center" wrapText="1"/>
    </xf>
    <xf numFmtId="3" fontId="63" fillId="0" borderId="29" xfId="0" applyNumberFormat="1" applyFont="1" applyBorder="1" applyAlignment="1">
      <alignment vertical="center"/>
    </xf>
    <xf numFmtId="182" fontId="63" fillId="0" borderId="24" xfId="0" applyNumberFormat="1" applyFont="1" applyBorder="1" applyAlignment="1">
      <alignment vertical="center"/>
    </xf>
    <xf numFmtId="0" fontId="65" fillId="0" borderId="25" xfId="0" applyFont="1" applyBorder="1" applyAlignment="1">
      <alignment vertical="center"/>
    </xf>
    <xf numFmtId="186" fontId="16" fillId="0" borderId="10" xfId="0" applyNumberFormat="1" applyFont="1" applyBorder="1" applyAlignment="1">
      <alignment horizontal="right" vertical="center"/>
    </xf>
    <xf numFmtId="186" fontId="65" fillId="0" borderId="10" xfId="39" applyNumberFormat="1" applyFont="1" applyFill="1" applyBorder="1" applyAlignment="1">
      <alignment horizontal="right" vertical="center" wrapText="1"/>
    </xf>
    <xf numFmtId="181" fontId="65" fillId="0" borderId="22" xfId="39" applyNumberFormat="1" applyFont="1" applyBorder="1" applyAlignment="1">
      <alignment horizontal="right" vertical="center" wrapText="1"/>
    </xf>
    <xf numFmtId="3" fontId="68" fillId="0" borderId="0" xfId="0" applyNumberFormat="1" applyFont="1" applyAlignment="1">
      <alignment vertical="center"/>
    </xf>
    <xf numFmtId="0" fontId="68" fillId="0" borderId="0" xfId="0" applyFont="1" applyAlignment="1">
      <alignment vertical="center"/>
    </xf>
    <xf numFmtId="182" fontId="68" fillId="0" borderId="0" xfId="0" applyNumberFormat="1" applyFont="1" applyAlignment="1">
      <alignment vertical="center"/>
    </xf>
    <xf numFmtId="186" fontId="68" fillId="0" borderId="0" xfId="0" applyNumberFormat="1" applyFont="1" applyAlignment="1">
      <alignment vertical="center"/>
    </xf>
    <xf numFmtId="0" fontId="70" fillId="0" borderId="18" xfId="0" applyFont="1" applyBorder="1" applyAlignment="1">
      <alignment vertical="center" wrapText="1"/>
    </xf>
    <xf numFmtId="3" fontId="63" fillId="0" borderId="10" xfId="0" applyNumberFormat="1" applyFont="1" applyBorder="1" applyAlignment="1">
      <alignment vertical="center"/>
    </xf>
    <xf numFmtId="3" fontId="63" fillId="0" borderId="10" xfId="35" applyNumberFormat="1" applyFont="1" applyBorder="1" applyAlignment="1">
      <alignment vertical="center"/>
      <protection/>
    </xf>
    <xf numFmtId="3" fontId="63" fillId="0" borderId="15" xfId="35" applyNumberFormat="1" applyFont="1" applyBorder="1" applyAlignment="1">
      <alignment vertical="center"/>
      <protection/>
    </xf>
    <xf numFmtId="3" fontId="63" fillId="0" borderId="0" xfId="0" applyNumberFormat="1" applyFont="1" applyAlignment="1">
      <alignment vertical="center"/>
    </xf>
    <xf numFmtId="3" fontId="65" fillId="0" borderId="22" xfId="0" applyNumberFormat="1" applyFont="1" applyBorder="1" applyAlignment="1">
      <alignment vertical="center"/>
    </xf>
    <xf numFmtId="186" fontId="63" fillId="0" borderId="10" xfId="0" applyNumberFormat="1" applyFont="1" applyBorder="1" applyAlignment="1">
      <alignment vertical="center"/>
    </xf>
    <xf numFmtId="186" fontId="63" fillId="0" borderId="24" xfId="0" applyNumberFormat="1" applyFont="1" applyBorder="1" applyAlignment="1">
      <alignment vertical="center"/>
    </xf>
    <xf numFmtId="3" fontId="65" fillId="0" borderId="24" xfId="0" applyNumberFormat="1" applyFont="1" applyBorder="1" applyAlignment="1">
      <alignment vertical="center" wrapText="1"/>
    </xf>
    <xf numFmtId="4" fontId="65" fillId="0" borderId="10" xfId="0" applyNumberFormat="1" applyFont="1" applyBorder="1" applyAlignment="1">
      <alignment vertical="center"/>
    </xf>
    <xf numFmtId="4" fontId="65" fillId="0" borderId="24" xfId="0" applyNumberFormat="1" applyFont="1" applyBorder="1" applyAlignment="1">
      <alignment vertical="center"/>
    </xf>
    <xf numFmtId="0" fontId="65" fillId="0" borderId="25" xfId="0" applyFont="1" applyBorder="1" applyAlignment="1">
      <alignment vertical="center" wrapText="1"/>
    </xf>
    <xf numFmtId="3" fontId="65" fillId="0" borderId="22" xfId="0" applyNumberFormat="1" applyFont="1" applyBorder="1" applyAlignment="1">
      <alignment horizontal="right" vertical="center"/>
    </xf>
    <xf numFmtId="3" fontId="65" fillId="0" borderId="22" xfId="36" applyNumberFormat="1" applyFont="1" applyBorder="1" applyAlignment="1">
      <alignment horizontal="right" vertical="center"/>
      <protection/>
    </xf>
    <xf numFmtId="3" fontId="65" fillId="0" borderId="22" xfId="0" applyNumberFormat="1" applyFont="1" applyBorder="1" applyAlignment="1">
      <alignment horizontal="right" vertical="center" wrapText="1"/>
    </xf>
    <xf numFmtId="3" fontId="65" fillId="0" borderId="22" xfId="36" applyNumberFormat="1" applyFont="1" applyBorder="1" applyAlignment="1">
      <alignment horizontal="right" vertical="center" wrapText="1"/>
      <protection/>
    </xf>
    <xf numFmtId="3" fontId="65" fillId="0" borderId="22" xfId="36" applyNumberFormat="1" applyFont="1" applyFill="1" applyBorder="1" applyAlignment="1">
      <alignment horizontal="right" vertical="center"/>
      <protection/>
    </xf>
    <xf numFmtId="3" fontId="65" fillId="0" borderId="23" xfId="0" applyNumberFormat="1" applyFont="1" applyBorder="1" applyAlignment="1">
      <alignment horizontal="right" vertical="center" wrapText="1"/>
    </xf>
    <xf numFmtId="3" fontId="65" fillId="0" borderId="22" xfId="0" applyNumberFormat="1" applyFont="1" applyFill="1" applyBorder="1" applyAlignment="1">
      <alignment horizontal="right" vertical="center"/>
    </xf>
    <xf numFmtId="3" fontId="65" fillId="0" borderId="29" xfId="0" applyNumberFormat="1" applyFont="1" applyBorder="1" applyAlignment="1">
      <alignment horizontal="right" vertical="center"/>
    </xf>
    <xf numFmtId="3" fontId="68" fillId="0" borderId="0" xfId="0" applyNumberFormat="1" applyFont="1" applyAlignment="1">
      <alignment horizontal="right" vertical="center"/>
    </xf>
    <xf numFmtId="0" fontId="63" fillId="0" borderId="0" xfId="0" applyFont="1" applyAlignment="1">
      <alignment horizontal="right" vertical="center"/>
    </xf>
    <xf numFmtId="0" fontId="65" fillId="0" borderId="0" xfId="0" applyFont="1" applyAlignment="1">
      <alignment vertical="center" wrapText="1"/>
    </xf>
    <xf numFmtId="186" fontId="65" fillId="0" borderId="10" xfId="0" applyNumberFormat="1" applyFont="1" applyBorder="1" applyAlignment="1">
      <alignment vertical="center"/>
    </xf>
    <xf numFmtId="3" fontId="63" fillId="0" borderId="10" xfId="0" applyNumberFormat="1" applyFont="1" applyFill="1" applyBorder="1" applyAlignment="1">
      <alignment vertical="center"/>
    </xf>
    <xf numFmtId="3" fontId="65" fillId="0" borderId="10" xfId="0" applyNumberFormat="1" applyFont="1" applyFill="1" applyBorder="1" applyAlignment="1">
      <alignment vertical="center"/>
    </xf>
    <xf numFmtId="4" fontId="65" fillId="0" borderId="10" xfId="0" applyNumberFormat="1" applyFont="1" applyBorder="1" applyAlignment="1">
      <alignment horizontal="right" vertical="center"/>
    </xf>
    <xf numFmtId="0" fontId="65" fillId="0" borderId="15" xfId="0" applyFont="1" applyFill="1" applyBorder="1" applyAlignment="1">
      <alignment horizontal="left" vertical="center"/>
    </xf>
    <xf numFmtId="0" fontId="65" fillId="0" borderId="17" xfId="0" applyFont="1" applyFill="1" applyBorder="1" applyAlignment="1">
      <alignment horizontal="left" vertical="center"/>
    </xf>
    <xf numFmtId="0" fontId="65" fillId="0" borderId="10" xfId="0" applyFont="1" applyFill="1" applyBorder="1" applyAlignment="1">
      <alignment horizontal="left" vertical="center"/>
    </xf>
    <xf numFmtId="4" fontId="65" fillId="0" borderId="10" xfId="0" applyNumberFormat="1" applyFont="1" applyFill="1" applyBorder="1" applyAlignment="1">
      <alignment vertical="center"/>
    </xf>
    <xf numFmtId="0" fontId="63" fillId="0" borderId="30" xfId="0" applyFont="1" applyBorder="1" applyAlignment="1" quotePrefix="1">
      <alignment vertical="center" wrapText="1"/>
    </xf>
    <xf numFmtId="182" fontId="63" fillId="0" borderId="29" xfId="39" applyNumberFormat="1" applyFont="1" applyBorder="1" applyAlignment="1">
      <alignment vertical="center"/>
    </xf>
    <xf numFmtId="3" fontId="63" fillId="0" borderId="22" xfId="35" applyNumberFormat="1" applyFont="1" applyFill="1" applyBorder="1">
      <alignment vertical="center"/>
      <protection/>
    </xf>
    <xf numFmtId="3" fontId="63" fillId="0" borderId="31" xfId="38" applyNumberFormat="1" applyFont="1" applyBorder="1">
      <alignment vertical="center"/>
      <protection/>
    </xf>
    <xf numFmtId="3" fontId="63" fillId="0" borderId="32" xfId="35" applyNumberFormat="1" applyFont="1" applyBorder="1" applyAlignment="1">
      <alignment vertical="center"/>
      <protection/>
    </xf>
    <xf numFmtId="3" fontId="63" fillId="0" borderId="33" xfId="35" applyNumberFormat="1" applyFont="1" applyBorder="1">
      <alignment vertical="center"/>
      <protection/>
    </xf>
    <xf numFmtId="182" fontId="63" fillId="0" borderId="32" xfId="0" applyNumberFormat="1" applyFont="1" applyBorder="1" applyAlignment="1">
      <alignment vertical="center"/>
    </xf>
    <xf numFmtId="186" fontId="63" fillId="0" borderId="32" xfId="0" applyNumberFormat="1" applyFont="1" applyBorder="1" applyAlignment="1">
      <alignment vertical="center"/>
    </xf>
    <xf numFmtId="0" fontId="65" fillId="0" borderId="34" xfId="0" applyFont="1" applyBorder="1" applyAlignment="1">
      <alignment vertical="center"/>
    </xf>
    <xf numFmtId="0" fontId="63" fillId="0" borderId="18" xfId="0" applyFont="1" applyBorder="1" applyAlignment="1" quotePrefix="1">
      <alignment horizontal="left" vertical="center"/>
    </xf>
    <xf numFmtId="181" fontId="14" fillId="0" borderId="10" xfId="40" applyNumberFormat="1" applyFont="1" applyFill="1" applyBorder="1" applyAlignment="1">
      <alignment vertical="center"/>
    </xf>
    <xf numFmtId="181" fontId="14" fillId="0" borderId="10" xfId="37" applyNumberFormat="1" applyFont="1" applyFill="1" applyBorder="1">
      <alignment vertical="center"/>
      <protection/>
    </xf>
    <xf numFmtId="181" fontId="14" fillId="0" borderId="35" xfId="40" applyNumberFormat="1" applyFont="1" applyFill="1" applyBorder="1" applyAlignment="1">
      <alignment vertical="center"/>
    </xf>
    <xf numFmtId="181" fontId="14" fillId="0" borderId="35" xfId="37" applyNumberFormat="1" applyFont="1" applyFill="1" applyBorder="1">
      <alignment vertical="center"/>
      <protection/>
    </xf>
    <xf numFmtId="0" fontId="14" fillId="0" borderId="0" xfId="37" applyFont="1" applyFill="1" applyBorder="1">
      <alignment vertical="center"/>
      <protection/>
    </xf>
    <xf numFmtId="181" fontId="14" fillId="34" borderId="10" xfId="40" applyNumberFormat="1" applyFont="1" applyFill="1" applyBorder="1" applyAlignment="1">
      <alignment horizontal="center" vertical="center"/>
    </xf>
    <xf numFmtId="182" fontId="14" fillId="34" borderId="10" xfId="40" applyNumberFormat="1" applyFont="1" applyFill="1" applyBorder="1" applyAlignment="1">
      <alignment vertical="center"/>
    </xf>
    <xf numFmtId="181" fontId="14" fillId="34" borderId="10" xfId="40" applyNumberFormat="1" applyFont="1" applyFill="1" applyBorder="1" applyAlignment="1">
      <alignment vertical="center"/>
    </xf>
    <xf numFmtId="181" fontId="14" fillId="0" borderId="0" xfId="37" applyNumberFormat="1" applyFont="1" applyFill="1">
      <alignment vertical="center"/>
      <protection/>
    </xf>
    <xf numFmtId="182" fontId="14" fillId="0" borderId="0" xfId="37" applyNumberFormat="1" applyFont="1" applyFill="1">
      <alignment vertical="center"/>
      <protection/>
    </xf>
    <xf numFmtId="182" fontId="14" fillId="0" borderId="26" xfId="37" applyNumberFormat="1" applyFont="1" applyFill="1" applyBorder="1" applyAlignment="1">
      <alignment vertical="center"/>
      <protection/>
    </xf>
    <xf numFmtId="182" fontId="14" fillId="0" borderId="17" xfId="37" applyNumberFormat="1" applyFont="1" applyFill="1" applyBorder="1" applyAlignment="1">
      <alignment vertical="center"/>
      <protection/>
    </xf>
    <xf numFmtId="0" fontId="65" fillId="0" borderId="30" xfId="0" applyFont="1" applyBorder="1" applyAlignment="1">
      <alignment vertical="center" wrapText="1"/>
    </xf>
    <xf numFmtId="182" fontId="65" fillId="0" borderId="10" xfId="39" applyNumberFormat="1" applyFont="1" applyBorder="1" applyAlignment="1">
      <alignment horizontal="right" vertical="center" wrapText="1"/>
    </xf>
    <xf numFmtId="182" fontId="65" fillId="0" borderId="10" xfId="39" applyNumberFormat="1" applyFont="1" applyFill="1" applyBorder="1" applyAlignment="1">
      <alignment horizontal="right" vertical="center" wrapText="1"/>
    </xf>
    <xf numFmtId="0" fontId="16" fillId="0" borderId="34" xfId="0" applyFont="1" applyBorder="1" applyAlignment="1">
      <alignment horizontal="left" vertical="center" wrapText="1"/>
    </xf>
    <xf numFmtId="0" fontId="63" fillId="0" borderId="15" xfId="0" applyFont="1" applyBorder="1" applyAlignment="1">
      <alignment horizontal="left" vertical="center"/>
    </xf>
    <xf numFmtId="0" fontId="63" fillId="0" borderId="17" xfId="0" applyFont="1" applyBorder="1" applyAlignment="1">
      <alignment horizontal="left" vertical="center"/>
    </xf>
    <xf numFmtId="0" fontId="65" fillId="0" borderId="15" xfId="0" applyFont="1" applyBorder="1" applyAlignment="1">
      <alignment horizontal="left" vertical="center"/>
    </xf>
    <xf numFmtId="0" fontId="65" fillId="0" borderId="26" xfId="0" applyFont="1" applyBorder="1" applyAlignment="1">
      <alignment horizontal="left" vertical="center"/>
    </xf>
    <xf numFmtId="0" fontId="65" fillId="0" borderId="17" xfId="0" applyFont="1" applyBorder="1" applyAlignment="1">
      <alignment horizontal="left" vertical="center"/>
    </xf>
    <xf numFmtId="3" fontId="65" fillId="0" borderId="36" xfId="0" applyNumberFormat="1" applyFont="1" applyBorder="1" applyAlignment="1">
      <alignment horizontal="right" vertical="center"/>
    </xf>
    <xf numFmtId="3" fontId="65" fillId="0" borderId="24" xfId="0" applyNumberFormat="1" applyFont="1" applyBorder="1" applyAlignment="1">
      <alignment horizontal="right" vertical="center"/>
    </xf>
    <xf numFmtId="181" fontId="9" fillId="0" borderId="10" xfId="39" applyNumberFormat="1" applyFont="1" applyBorder="1" applyAlignment="1">
      <alignment horizontal="right" vertical="center" wrapText="1"/>
    </xf>
    <xf numFmtId="181" fontId="9" fillId="0" borderId="24" xfId="39" applyNumberFormat="1" applyFont="1" applyBorder="1" applyAlignment="1">
      <alignment horizontal="right" vertical="center" wrapText="1"/>
    </xf>
    <xf numFmtId="181" fontId="63" fillId="0" borderId="24" xfId="39" applyNumberFormat="1" applyFont="1" applyBorder="1" applyAlignment="1">
      <alignment horizontal="right" vertical="center"/>
    </xf>
    <xf numFmtId="0" fontId="16" fillId="0" borderId="34" xfId="0" applyFont="1" applyBorder="1" applyAlignment="1">
      <alignment vertical="center" wrapText="1"/>
    </xf>
    <xf numFmtId="0" fontId="16" fillId="0" borderId="18" xfId="0" applyFont="1" applyFill="1" applyBorder="1" applyAlignment="1">
      <alignment horizontal="left" vertical="center" wrapText="1"/>
    </xf>
    <xf numFmtId="181" fontId="16" fillId="0" borderId="10" xfId="39" applyNumberFormat="1" applyFont="1" applyBorder="1" applyAlignment="1">
      <alignment vertical="center"/>
    </xf>
    <xf numFmtId="3" fontId="65" fillId="0" borderId="22" xfId="0" applyNumberFormat="1" applyFont="1" applyBorder="1" applyAlignment="1">
      <alignment vertical="center" wrapText="1"/>
    </xf>
    <xf numFmtId="181" fontId="9" fillId="0" borderId="10" xfId="39" applyNumberFormat="1" applyFont="1" applyFill="1" applyBorder="1" applyAlignment="1">
      <alignment horizontal="right" vertical="center"/>
    </xf>
    <xf numFmtId="0" fontId="65" fillId="0" borderId="26" xfId="0" applyFont="1" applyBorder="1" applyAlignment="1">
      <alignment horizontal="left" vertical="center" wrapText="1"/>
    </xf>
    <xf numFmtId="0" fontId="65" fillId="0" borderId="17" xfId="0" applyFont="1" applyBorder="1" applyAlignment="1">
      <alignment horizontal="left" vertical="center" wrapText="1"/>
    </xf>
    <xf numFmtId="0" fontId="65" fillId="0" borderId="15" xfId="0" applyFont="1" applyBorder="1" applyAlignment="1">
      <alignment horizontal="left" vertical="center" wrapText="1"/>
    </xf>
    <xf numFmtId="0" fontId="65" fillId="0" borderId="10" xfId="0" applyFont="1" applyBorder="1" applyAlignment="1">
      <alignment horizontal="left" vertical="center"/>
    </xf>
    <xf numFmtId="0" fontId="65" fillId="0" borderId="18" xfId="0" applyFont="1" applyBorder="1" applyAlignment="1" quotePrefix="1">
      <alignment horizontal="left" vertical="center" wrapText="1"/>
    </xf>
    <xf numFmtId="182" fontId="65" fillId="0" borderId="10" xfId="0" applyNumberFormat="1" applyFont="1" applyBorder="1" applyAlignment="1">
      <alignment horizontal="right" vertical="center"/>
    </xf>
    <xf numFmtId="182" fontId="65" fillId="0" borderId="10" xfId="0" applyNumberFormat="1" applyFont="1" applyBorder="1" applyAlignment="1">
      <alignment vertical="center" wrapText="1"/>
    </xf>
    <xf numFmtId="181" fontId="66" fillId="0" borderId="26" xfId="0" applyNumberFormat="1" applyFont="1" applyBorder="1" applyAlignment="1">
      <alignment horizontal="right" vertical="center"/>
    </xf>
    <xf numFmtId="181" fontId="66" fillId="0" borderId="17" xfId="0" applyNumberFormat="1" applyFont="1" applyBorder="1" applyAlignment="1">
      <alignment horizontal="right" vertical="center"/>
    </xf>
    <xf numFmtId="3" fontId="63" fillId="7" borderId="10" xfId="0" applyNumberFormat="1" applyFont="1" applyFill="1" applyBorder="1" applyAlignment="1">
      <alignment vertical="center"/>
    </xf>
    <xf numFmtId="0" fontId="65" fillId="7" borderId="23" xfId="0" applyFont="1" applyFill="1" applyBorder="1" applyAlignment="1">
      <alignment/>
    </xf>
    <xf numFmtId="0" fontId="16" fillId="7" borderId="17" xfId="0" applyFont="1" applyFill="1" applyBorder="1" applyAlignment="1">
      <alignment vertical="center" wrapText="1"/>
    </xf>
    <xf numFmtId="0" fontId="16" fillId="7" borderId="10" xfId="0" applyFont="1" applyFill="1" applyBorder="1" applyAlignment="1">
      <alignment horizontal="center" vertical="center"/>
    </xf>
    <xf numFmtId="181" fontId="16" fillId="7" borderId="10" xfId="39" applyNumberFormat="1" applyFont="1" applyFill="1" applyBorder="1" applyAlignment="1">
      <alignment horizontal="center" vertical="center" wrapText="1"/>
    </xf>
    <xf numFmtId="181" fontId="16" fillId="7" borderId="10" xfId="39" applyNumberFormat="1" applyFont="1" applyFill="1" applyBorder="1" applyAlignment="1">
      <alignment horizontal="right" vertical="center" wrapText="1"/>
    </xf>
    <xf numFmtId="0" fontId="65" fillId="7" borderId="23" xfId="0" applyFont="1" applyFill="1" applyBorder="1" applyAlignment="1">
      <alignment vertical="center" wrapText="1"/>
    </xf>
    <xf numFmtId="0" fontId="17" fillId="7" borderId="10" xfId="0" applyFont="1" applyFill="1" applyBorder="1" applyAlignment="1">
      <alignment horizontal="center" vertical="center"/>
    </xf>
    <xf numFmtId="181" fontId="16" fillId="7" borderId="10" xfId="39" applyNumberFormat="1" applyFont="1" applyFill="1" applyBorder="1" applyAlignment="1">
      <alignment horizontal="center" vertical="center"/>
    </xf>
    <xf numFmtId="0" fontId="71" fillId="0" borderId="0" xfId="0" applyFont="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37"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0" xfId="0" applyFont="1" applyBorder="1" applyAlignment="1">
      <alignment horizontal="center" vertical="center"/>
    </xf>
    <xf numFmtId="0" fontId="9" fillId="0" borderId="38" xfId="0" applyFont="1" applyBorder="1" applyAlignment="1">
      <alignment horizontal="center" vertical="center" wrapText="1"/>
    </xf>
    <xf numFmtId="0" fontId="9" fillId="0" borderId="27" xfId="0" applyFont="1" applyBorder="1" applyAlignment="1">
      <alignment horizontal="center" vertical="center" wrapText="1"/>
    </xf>
    <xf numFmtId="0" fontId="63" fillId="0" borderId="39" xfId="0" applyFont="1" applyBorder="1" applyAlignment="1" quotePrefix="1">
      <alignment horizontal="center" vertical="center"/>
    </xf>
    <xf numFmtId="0" fontId="63" fillId="0" borderId="36" xfId="0" applyFont="1" applyBorder="1" applyAlignment="1" quotePrefix="1">
      <alignment horizontal="center" vertical="center"/>
    </xf>
    <xf numFmtId="0" fontId="63" fillId="0" borderId="40" xfId="0" applyFont="1" applyBorder="1" applyAlignment="1">
      <alignment horizontal="left"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23" xfId="0" applyFont="1" applyBorder="1" applyAlignment="1">
      <alignment horizontal="left" vertical="center" wrapText="1"/>
    </xf>
    <xf numFmtId="0" fontId="9" fillId="0" borderId="17" xfId="0" applyFont="1" applyBorder="1" applyAlignment="1">
      <alignment horizontal="left" vertical="center" wrapText="1"/>
    </xf>
    <xf numFmtId="0" fontId="63" fillId="0" borderId="23" xfId="0" applyFont="1" applyBorder="1" applyAlignment="1" quotePrefix="1">
      <alignment horizontal="left" vertical="center"/>
    </xf>
    <xf numFmtId="0" fontId="63" fillId="0" borderId="17" xfId="0" applyFont="1" applyBorder="1" applyAlignment="1" quotePrefix="1">
      <alignment horizontal="left" vertical="center"/>
    </xf>
    <xf numFmtId="0" fontId="18" fillId="0" borderId="0" xfId="0" applyFont="1" applyAlignment="1">
      <alignment horizontal="center" vertical="center"/>
    </xf>
    <xf numFmtId="0" fontId="18" fillId="0" borderId="43" xfId="0" applyFont="1" applyBorder="1" applyAlignment="1">
      <alignment horizontal="center" vertical="center"/>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181" fontId="66" fillId="0" borderId="26" xfId="0" applyNumberFormat="1" applyFont="1" applyBorder="1" applyAlignment="1">
      <alignment horizontal="right" vertical="center"/>
    </xf>
    <xf numFmtId="181" fontId="66" fillId="0" borderId="17" xfId="0" applyNumberFormat="1" applyFont="1" applyBorder="1" applyAlignment="1">
      <alignment horizontal="right" vertical="center"/>
    </xf>
    <xf numFmtId="181" fontId="19" fillId="0" borderId="15" xfId="39" applyNumberFormat="1" applyFont="1" applyBorder="1" applyAlignment="1">
      <alignment horizontal="right" vertical="center"/>
    </xf>
    <xf numFmtId="181" fontId="19" fillId="0" borderId="17" xfId="39" applyNumberFormat="1" applyFont="1" applyBorder="1" applyAlignment="1">
      <alignment horizontal="right" vertical="center"/>
    </xf>
    <xf numFmtId="0" fontId="19" fillId="0" borderId="23" xfId="0" applyFont="1" applyBorder="1" applyAlignment="1">
      <alignment horizontal="left" vertical="center"/>
    </xf>
    <xf numFmtId="0" fontId="19" fillId="0" borderId="17" xfId="0" applyFont="1" applyBorder="1" applyAlignment="1">
      <alignment horizontal="left" vertical="center"/>
    </xf>
    <xf numFmtId="0" fontId="16" fillId="0" borderId="34" xfId="0" applyFont="1" applyFill="1" applyBorder="1" applyAlignment="1">
      <alignment horizontal="left" vertical="center" wrapText="1"/>
    </xf>
    <xf numFmtId="0" fontId="16" fillId="0" borderId="44"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6" fillId="0" borderId="34" xfId="0" applyFont="1" applyFill="1" applyBorder="1" applyAlignment="1">
      <alignment horizontal="left" vertical="center"/>
    </xf>
    <xf numFmtId="0" fontId="16" fillId="0" borderId="44" xfId="0" applyFont="1" applyFill="1" applyBorder="1" applyAlignment="1">
      <alignment horizontal="left" vertical="center"/>
    </xf>
    <xf numFmtId="0" fontId="16" fillId="0" borderId="30" xfId="0" applyFont="1" applyFill="1" applyBorder="1" applyAlignment="1">
      <alignment horizontal="left" vertical="center"/>
    </xf>
    <xf numFmtId="0" fontId="66" fillId="0" borderId="39" xfId="0" applyFont="1" applyBorder="1" applyAlignment="1">
      <alignment horizontal="center" vertical="center" wrapText="1"/>
    </xf>
    <xf numFmtId="0" fontId="66" fillId="0" borderId="36" xfId="0" applyFont="1" applyBorder="1" applyAlignment="1">
      <alignment horizontal="center" vertical="center" wrapText="1"/>
    </xf>
    <xf numFmtId="181" fontId="19" fillId="33" borderId="45" xfId="39" applyNumberFormat="1" applyFont="1" applyFill="1" applyBorder="1" applyAlignment="1">
      <alignment horizontal="right" vertical="center"/>
    </xf>
    <xf numFmtId="181" fontId="19" fillId="33" borderId="36" xfId="39" applyNumberFormat="1" applyFont="1" applyFill="1" applyBorder="1" applyAlignment="1">
      <alignment horizontal="right" vertical="center"/>
    </xf>
    <xf numFmtId="0" fontId="16" fillId="7" borderId="34" xfId="0" applyFont="1" applyFill="1" applyBorder="1" applyAlignment="1">
      <alignment horizontal="left" vertical="center" wrapText="1"/>
    </xf>
    <xf numFmtId="0" fontId="16" fillId="7" borderId="44" xfId="0" applyFont="1" applyFill="1" applyBorder="1" applyAlignment="1">
      <alignment horizontal="left" vertical="center" wrapText="1"/>
    </xf>
    <xf numFmtId="0" fontId="16" fillId="7" borderId="30" xfId="0" applyFont="1" applyFill="1" applyBorder="1" applyAlignment="1">
      <alignment horizontal="left" vertical="center" wrapText="1"/>
    </xf>
    <xf numFmtId="0" fontId="71" fillId="0" borderId="0" xfId="0" applyFont="1" applyBorder="1" applyAlignment="1">
      <alignment horizontal="center" vertical="center"/>
    </xf>
    <xf numFmtId="0" fontId="13" fillId="0" borderId="37" xfId="0" applyFont="1" applyBorder="1" applyAlignment="1">
      <alignment horizontal="center" vertical="center" wrapText="1"/>
    </xf>
    <xf numFmtId="0" fontId="64" fillId="0" borderId="22" xfId="0" applyFont="1" applyBorder="1" applyAlignment="1">
      <alignment horizontal="center" vertical="center"/>
    </xf>
    <xf numFmtId="3" fontId="13" fillId="0" borderId="19" xfId="0" applyNumberFormat="1" applyFont="1" applyBorder="1" applyAlignment="1">
      <alignment horizontal="center" vertical="center" wrapText="1"/>
    </xf>
    <xf numFmtId="3" fontId="64" fillId="0" borderId="10" xfId="0" applyNumberFormat="1" applyFont="1" applyBorder="1" applyAlignment="1">
      <alignment horizontal="center" vertical="center" wrapText="1"/>
    </xf>
    <xf numFmtId="0" fontId="13" fillId="0" borderId="19" xfId="0" applyFont="1" applyBorder="1" applyAlignment="1">
      <alignment horizontal="center" vertical="center" wrapText="1"/>
    </xf>
    <xf numFmtId="0" fontId="64" fillId="0" borderId="10" xfId="0" applyFont="1" applyBorder="1" applyAlignment="1">
      <alignment horizontal="center" vertical="center" wrapText="1"/>
    </xf>
    <xf numFmtId="0" fontId="63" fillId="0" borderId="26" xfId="0" applyFont="1" applyBorder="1" applyAlignment="1">
      <alignment horizontal="left" vertical="center" wrapText="1"/>
    </xf>
    <xf numFmtId="0" fontId="63" fillId="0" borderId="17" xfId="0" applyFont="1" applyBorder="1" applyAlignment="1">
      <alignment horizontal="left" vertical="center" wrapText="1"/>
    </xf>
    <xf numFmtId="0" fontId="64" fillId="0" borderId="19" xfId="0" applyFont="1" applyBorder="1" applyAlignment="1">
      <alignment horizontal="center" vertical="center" wrapText="1"/>
    </xf>
    <xf numFmtId="0" fontId="13" fillId="0" borderId="46" xfId="0" applyFont="1" applyBorder="1" applyAlignment="1">
      <alignment horizontal="center" vertical="center"/>
    </xf>
    <xf numFmtId="0" fontId="13" fillId="0" borderId="40"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0"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63" fillId="0" borderId="15" xfId="0" applyFont="1" applyBorder="1" applyAlignment="1">
      <alignment horizontal="left" vertical="center"/>
    </xf>
    <xf numFmtId="0" fontId="63" fillId="0" borderId="26" xfId="0" applyFont="1" applyBorder="1" applyAlignment="1">
      <alignment horizontal="left" vertical="center"/>
    </xf>
    <xf numFmtId="0" fontId="63" fillId="0" borderId="17" xfId="0" applyFont="1" applyBorder="1" applyAlignment="1">
      <alignment horizontal="left" vertical="center"/>
    </xf>
    <xf numFmtId="0" fontId="65" fillId="0" borderId="34" xfId="0" applyFont="1" applyBorder="1" applyAlignment="1" quotePrefix="1">
      <alignment horizontal="center" vertical="center" wrapText="1"/>
    </xf>
    <xf numFmtId="0" fontId="65" fillId="0" borderId="44" xfId="0" applyFont="1" applyBorder="1" applyAlignment="1" quotePrefix="1">
      <alignment horizontal="center" vertical="center" wrapText="1"/>
    </xf>
    <xf numFmtId="0" fontId="65" fillId="0" borderId="30" xfId="0" applyFont="1" applyBorder="1" applyAlignment="1" quotePrefix="1">
      <alignment horizontal="center" vertical="center" wrapText="1"/>
    </xf>
    <xf numFmtId="0" fontId="65" fillId="0" borderId="34" xfId="0" applyFont="1" applyBorder="1" applyAlignment="1" quotePrefix="1">
      <alignment horizontal="left" vertical="center" wrapText="1"/>
    </xf>
    <xf numFmtId="0" fontId="65" fillId="0" borderId="44" xfId="0" applyFont="1" applyBorder="1" applyAlignment="1" quotePrefix="1">
      <alignment horizontal="left" vertical="center" wrapText="1"/>
    </xf>
    <xf numFmtId="0" fontId="65" fillId="0" borderId="30" xfId="0" applyFont="1" applyBorder="1" applyAlignment="1" quotePrefix="1">
      <alignment horizontal="left" vertical="center" wrapText="1"/>
    </xf>
    <xf numFmtId="0" fontId="65" fillId="0" borderId="26" xfId="0" applyFont="1" applyBorder="1" applyAlignment="1">
      <alignment horizontal="left" vertical="center" wrapText="1"/>
    </xf>
    <xf numFmtId="0" fontId="65" fillId="0" borderId="17" xfId="0" applyFont="1" applyBorder="1" applyAlignment="1">
      <alignment horizontal="left" vertical="center" wrapText="1"/>
    </xf>
    <xf numFmtId="0" fontId="13" fillId="0" borderId="20" xfId="0" applyFont="1" applyBorder="1" applyAlignment="1">
      <alignment horizontal="center" vertical="center"/>
    </xf>
    <xf numFmtId="0" fontId="64" fillId="0" borderId="18" xfId="0" applyFont="1" applyBorder="1" applyAlignment="1">
      <alignment horizontal="center" vertical="center"/>
    </xf>
    <xf numFmtId="3" fontId="63" fillId="0" borderId="45" xfId="0" applyNumberFormat="1" applyFont="1" applyBorder="1" applyAlignment="1">
      <alignment horizontal="left" vertical="center"/>
    </xf>
    <xf numFmtId="3" fontId="63" fillId="0" borderId="53" xfId="0" applyNumberFormat="1" applyFont="1" applyBorder="1" applyAlignment="1">
      <alignment horizontal="left" vertical="center"/>
    </xf>
    <xf numFmtId="3" fontId="63" fillId="0" borderId="36" xfId="0" applyNumberFormat="1" applyFont="1" applyBorder="1" applyAlignment="1">
      <alignment horizontal="left" vertical="center"/>
    </xf>
    <xf numFmtId="0" fontId="65" fillId="0" borderId="34" xfId="0" applyFont="1" applyBorder="1" applyAlignment="1">
      <alignment horizontal="left" vertical="center" wrapText="1"/>
    </xf>
    <xf numFmtId="0" fontId="65" fillId="0" borderId="44" xfId="0" applyFont="1" applyBorder="1" applyAlignment="1">
      <alignment horizontal="left" vertical="center" wrapText="1"/>
    </xf>
    <xf numFmtId="0" fontId="65" fillId="0" borderId="30" xfId="0" applyFont="1" applyBorder="1" applyAlignment="1">
      <alignment horizontal="left" vertical="center" wrapText="1"/>
    </xf>
    <xf numFmtId="181" fontId="16" fillId="0" borderId="54" xfId="40" applyNumberFormat="1" applyFont="1" applyFill="1" applyBorder="1" applyAlignment="1">
      <alignment horizontal="left" vertical="center"/>
    </xf>
    <xf numFmtId="181" fontId="16" fillId="0" borderId="55" xfId="40" applyNumberFormat="1" applyFont="1" applyFill="1" applyBorder="1" applyAlignment="1">
      <alignment horizontal="left" vertical="center"/>
    </xf>
    <xf numFmtId="0" fontId="14" fillId="0" borderId="56" xfId="37" applyFont="1" applyFill="1" applyBorder="1" applyAlignment="1">
      <alignment horizontal="left" vertical="center"/>
      <protection/>
    </xf>
    <xf numFmtId="0" fontId="14" fillId="0" borderId="0" xfId="37" applyFont="1" applyFill="1" applyBorder="1" applyAlignment="1">
      <alignment horizontal="left" vertical="center"/>
      <protection/>
    </xf>
    <xf numFmtId="0" fontId="14" fillId="0" borderId="57" xfId="37" applyFont="1" applyFill="1" applyBorder="1" applyAlignment="1">
      <alignment horizontal="left" vertical="center"/>
      <protection/>
    </xf>
    <xf numFmtId="0" fontId="14" fillId="0" borderId="56" xfId="37" applyFont="1" applyFill="1" applyBorder="1" applyAlignment="1">
      <alignment horizontal="left" vertical="center" wrapText="1"/>
      <protection/>
    </xf>
    <xf numFmtId="0" fontId="14" fillId="0" borderId="0" xfId="37" applyFont="1" applyFill="1" applyBorder="1" applyAlignment="1">
      <alignment horizontal="left" vertical="center" wrapText="1"/>
      <protection/>
    </xf>
    <xf numFmtId="0" fontId="14" fillId="0" borderId="57" xfId="37" applyFont="1" applyFill="1" applyBorder="1" applyAlignment="1">
      <alignment horizontal="left" vertical="center" wrapText="1"/>
      <protection/>
    </xf>
    <xf numFmtId="0" fontId="14" fillId="0" borderId="58" xfId="37" applyFont="1" applyFill="1" applyBorder="1" applyAlignment="1">
      <alignment horizontal="left" vertical="center"/>
      <protection/>
    </xf>
    <xf numFmtId="0" fontId="14" fillId="0" borderId="59" xfId="37" applyFont="1" applyFill="1" applyBorder="1" applyAlignment="1">
      <alignment horizontal="left" vertical="center"/>
      <protection/>
    </xf>
    <xf numFmtId="0" fontId="14" fillId="0" borderId="60" xfId="37" applyFont="1" applyFill="1" applyBorder="1" applyAlignment="1">
      <alignment horizontal="left" vertical="center"/>
      <protection/>
    </xf>
    <xf numFmtId="181" fontId="14" fillId="0" borderId="10" xfId="40" applyNumberFormat="1" applyFont="1" applyFill="1" applyBorder="1" applyAlignment="1">
      <alignment horizontal="center" vertical="center"/>
    </xf>
    <xf numFmtId="181" fontId="14" fillId="0" borderId="35" xfId="40" applyNumberFormat="1" applyFont="1" applyFill="1" applyBorder="1" applyAlignment="1">
      <alignment horizontal="center" vertical="center"/>
    </xf>
    <xf numFmtId="0" fontId="13" fillId="0" borderId="0" xfId="37" applyFont="1" applyFill="1" applyBorder="1" applyAlignment="1">
      <alignment horizontal="center" vertical="center"/>
      <protection/>
    </xf>
    <xf numFmtId="0" fontId="14" fillId="0" borderId="61" xfId="37" applyFont="1" applyFill="1" applyBorder="1" applyAlignment="1">
      <alignment horizontal="center" vertical="center"/>
      <protection/>
    </xf>
    <xf numFmtId="0" fontId="14" fillId="0" borderId="11" xfId="37" applyFont="1" applyFill="1" applyBorder="1" applyAlignment="1">
      <alignment horizontal="center" vertical="center"/>
      <protection/>
    </xf>
    <xf numFmtId="0" fontId="14" fillId="0" borderId="62" xfId="37" applyFont="1" applyFill="1" applyBorder="1" applyAlignment="1">
      <alignment horizontal="center" vertical="center"/>
      <protection/>
    </xf>
    <xf numFmtId="0" fontId="14" fillId="0" borderId="63" xfId="37" applyFont="1" applyFill="1" applyBorder="1" applyAlignment="1">
      <alignment horizontal="center" vertical="center"/>
      <protection/>
    </xf>
    <xf numFmtId="0" fontId="14" fillId="0" borderId="12" xfId="37" applyFont="1" applyFill="1" applyBorder="1" applyAlignment="1">
      <alignment horizontal="center" vertical="center"/>
      <protection/>
    </xf>
    <xf numFmtId="0" fontId="14" fillId="0" borderId="10" xfId="37" applyFont="1" applyFill="1" applyBorder="1" applyAlignment="1">
      <alignment horizontal="center" vertical="center"/>
      <protection/>
    </xf>
    <xf numFmtId="3" fontId="65" fillId="0" borderId="45" xfId="0" applyNumberFormat="1" applyFont="1" applyBorder="1" applyAlignment="1">
      <alignment horizontal="center" vertical="center"/>
    </xf>
    <xf numFmtId="3" fontId="65" fillId="0" borderId="53" xfId="0" applyNumberFormat="1" applyFont="1" applyBorder="1" applyAlignment="1">
      <alignment horizontal="center" vertical="center"/>
    </xf>
    <xf numFmtId="0" fontId="65" fillId="0" borderId="15" xfId="0" applyFont="1" applyBorder="1" applyAlignment="1">
      <alignment horizontal="left" vertical="center" wrapText="1"/>
    </xf>
    <xf numFmtId="0" fontId="16" fillId="0" borderId="37" xfId="0" applyFont="1" applyBorder="1" applyAlignment="1">
      <alignment horizontal="right" vertical="center" wrapText="1"/>
    </xf>
    <xf numFmtId="0" fontId="65" fillId="0" borderId="22" xfId="0" applyFont="1" applyBorder="1" applyAlignment="1">
      <alignment horizontal="right" vertical="center"/>
    </xf>
    <xf numFmtId="0" fontId="16" fillId="0" borderId="19"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0" xfId="0" applyFont="1" applyBorder="1" applyAlignment="1">
      <alignment horizontal="left" vertical="center"/>
    </xf>
    <xf numFmtId="0" fontId="6" fillId="0" borderId="0" xfId="0" applyFont="1" applyAlignment="1">
      <alignment horizontal="center" vertical="center"/>
    </xf>
    <xf numFmtId="0" fontId="65" fillId="0" borderId="20" xfId="0" applyFont="1" applyBorder="1" applyAlignment="1">
      <alignment horizontal="center" vertical="center" wrapText="1"/>
    </xf>
    <xf numFmtId="0" fontId="65" fillId="0" borderId="18" xfId="0" applyFont="1" applyBorder="1" applyAlignment="1">
      <alignment horizontal="center" vertical="center" wrapText="1"/>
    </xf>
    <xf numFmtId="0" fontId="16" fillId="0" borderId="46" xfId="0" applyFont="1" applyBorder="1" applyAlignment="1">
      <alignment horizontal="center" vertical="center"/>
    </xf>
    <xf numFmtId="0" fontId="16" fillId="0" borderId="40" xfId="0" applyFont="1"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6" fillId="0" borderId="0"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4" fillId="0" borderId="19"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10" xfId="0" applyFont="1" applyBorder="1" applyAlignment="1">
      <alignment horizontal="center" vertical="center" wrapText="1"/>
    </xf>
  </cellXfs>
  <cellStyles count="5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 5" xfId="36"/>
    <cellStyle name="一般 5 2" xfId="37"/>
    <cellStyle name="一般 6" xfId="38"/>
    <cellStyle name="Comma" xfId="39"/>
    <cellStyle name="千分位 4" xfId="40"/>
    <cellStyle name="Comma [0]" xfId="41"/>
    <cellStyle name="Followed Hyperlink" xfId="42"/>
    <cellStyle name="中等" xfId="43"/>
    <cellStyle name="合計" xfId="44"/>
    <cellStyle name="好" xfId="45"/>
    <cellStyle name="Percent" xfId="46"/>
    <cellStyle name="計算方式" xfId="47"/>
    <cellStyle name="Currency" xfId="48"/>
    <cellStyle name="Currency [0]" xfId="49"/>
    <cellStyle name="連結的儲存格" xfId="50"/>
    <cellStyle name="備註" xfId="51"/>
    <cellStyle name="Hyperlink" xfId="52"/>
    <cellStyle name="說明文字" xfId="53"/>
    <cellStyle name="輔色1" xfId="54"/>
    <cellStyle name="輔色2" xfId="55"/>
    <cellStyle name="輔色3" xfId="56"/>
    <cellStyle name="輔色4" xfId="57"/>
    <cellStyle name="輔色5" xfId="58"/>
    <cellStyle name="輔色6" xfId="59"/>
    <cellStyle name="標題" xfId="60"/>
    <cellStyle name="標題 1" xfId="61"/>
    <cellStyle name="標題 2" xfId="62"/>
    <cellStyle name="標題 3" xfId="63"/>
    <cellStyle name="標題 4" xfId="64"/>
    <cellStyle name="輸入" xfId="65"/>
    <cellStyle name="輸出" xfId="66"/>
    <cellStyle name="檢查儲存格" xfId="67"/>
    <cellStyle name="壞" xfId="68"/>
    <cellStyle name="警告文字"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HR421\&#38928;&#31639;\110&#38928;&#31639;\&#33891;&#20107;&#26371;\110&#23416;&#24180;&#24230;&#38928;&#31639;_&#30435;&#23519;&#20154;&#26356;&#260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說明書"/>
      <sheetName val="預決比較"/>
      <sheetName val="收入"/>
      <sheetName val="學費預估"/>
      <sheetName val="支出"/>
      <sheetName val="資本門"/>
      <sheetName val="報廢"/>
      <sheetName val="教學上機收費"/>
      <sheetName val="社大彙總表"/>
      <sheetName val="人事室預算"/>
      <sheetName val="董事會"/>
      <sheetName val="各科經費一覽表"/>
      <sheetName val="經常費-總務處+庶務-正式"/>
      <sheetName val="4170202現金股利"/>
      <sheetName val="4170201投資收益"/>
      <sheetName val="預決比較 (2)"/>
      <sheetName val="各單位預算草案白"/>
    </sheetNames>
    <sheetDataSet>
      <sheetData sheetId="5">
        <row r="60">
          <cell r="F60" t="str">
            <v>圖書(充實館藏)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zoomScalePageLayoutView="0" workbookViewId="0" topLeftCell="A1">
      <selection activeCell="H22" sqref="H22"/>
    </sheetView>
  </sheetViews>
  <sheetFormatPr defaultColWidth="9.00390625" defaultRowHeight="15.75"/>
  <cols>
    <col min="1" max="1" width="14.75390625" style="0" customWidth="1"/>
    <col min="2" max="2" width="25.125" style="0" customWidth="1"/>
    <col min="3" max="3" width="14.75390625" style="0" customWidth="1"/>
    <col min="4" max="4" width="13.875" style="0" customWidth="1"/>
    <col min="5" max="5" width="14.625" style="0" customWidth="1"/>
    <col min="6" max="6" width="10.625" style="0" customWidth="1"/>
    <col min="10" max="10" width="22.625" style="0" customWidth="1"/>
    <col min="11" max="11" width="17.00390625" style="0" customWidth="1"/>
  </cols>
  <sheetData>
    <row r="1" spans="1:6" s="1" customFormat="1" ht="22.5" customHeight="1">
      <c r="A1" s="252" t="s">
        <v>230</v>
      </c>
      <c r="B1" s="252"/>
      <c r="C1" s="252"/>
      <c r="D1" s="252"/>
      <c r="E1" s="252"/>
      <c r="F1" s="252"/>
    </row>
    <row r="2" spans="1:6" s="1" customFormat="1" ht="22.5" customHeight="1">
      <c r="A2" s="252" t="s">
        <v>0</v>
      </c>
      <c r="B2" s="252"/>
      <c r="C2" s="252"/>
      <c r="D2" s="252"/>
      <c r="E2" s="252"/>
      <c r="F2" s="252"/>
    </row>
    <row r="3" spans="1:7" s="1" customFormat="1" ht="22.5" customHeight="1" thickBot="1">
      <c r="A3" s="252" t="s">
        <v>246</v>
      </c>
      <c r="B3" s="252"/>
      <c r="C3" s="252"/>
      <c r="D3" s="252"/>
      <c r="E3" s="252"/>
      <c r="F3" s="252"/>
      <c r="G3" s="4"/>
    </row>
    <row r="4" spans="1:6" s="1" customFormat="1" ht="28.5" customHeight="1">
      <c r="A4" s="255" t="s">
        <v>240</v>
      </c>
      <c r="B4" s="253" t="s">
        <v>12</v>
      </c>
      <c r="C4" s="258" t="s">
        <v>15</v>
      </c>
      <c r="D4" s="258" t="s">
        <v>13</v>
      </c>
      <c r="E4" s="253" t="s">
        <v>14</v>
      </c>
      <c r="F4" s="254"/>
    </row>
    <row r="5" spans="1:6" s="2" customFormat="1" ht="28.5" customHeight="1">
      <c r="A5" s="256"/>
      <c r="B5" s="257"/>
      <c r="C5" s="259"/>
      <c r="D5" s="259"/>
      <c r="E5" s="5" t="s">
        <v>1</v>
      </c>
      <c r="F5" s="80" t="s">
        <v>2</v>
      </c>
    </row>
    <row r="6" spans="1:6" ht="37.5" customHeight="1">
      <c r="A6" s="81">
        <f>A7+A8+A9+A10+A11+A12</f>
        <v>167550655</v>
      </c>
      <c r="B6" s="7" t="s">
        <v>24</v>
      </c>
      <c r="C6" s="6">
        <f>SUM(C7:C12)</f>
        <v>162285071</v>
      </c>
      <c r="D6" s="6">
        <f>D7+D8+D9+D10+D11+D12</f>
        <v>173202294</v>
      </c>
      <c r="E6" s="86">
        <f>C6-D6</f>
        <v>-10917223</v>
      </c>
      <c r="F6" s="82">
        <f>E6/D6*100</f>
        <v>-6.303163051639489</v>
      </c>
    </row>
    <row r="7" spans="1:6" ht="37.5" customHeight="1">
      <c r="A7" s="81">
        <v>41401930</v>
      </c>
      <c r="B7" s="8" t="s">
        <v>3</v>
      </c>
      <c r="C7" s="6">
        <f>'收入預算表'!E7</f>
        <v>49747540</v>
      </c>
      <c r="D7" s="6">
        <v>44333520</v>
      </c>
      <c r="E7" s="86">
        <f aca="true" t="shared" si="0" ref="E7:E22">C7-D7</f>
        <v>5414020</v>
      </c>
      <c r="F7" s="82">
        <f aca="true" t="shared" si="1" ref="F7:F20">E7/D7*100</f>
        <v>12.212023768922476</v>
      </c>
    </row>
    <row r="8" spans="1:6" ht="37.5" customHeight="1">
      <c r="A8" s="81">
        <v>31074675</v>
      </c>
      <c r="B8" s="8" t="s">
        <v>80</v>
      </c>
      <c r="C8" s="6">
        <f>'收入預算表'!E18</f>
        <v>45000000</v>
      </c>
      <c r="D8" s="6">
        <v>37938131</v>
      </c>
      <c r="E8" s="86">
        <f t="shared" si="0"/>
        <v>7061869</v>
      </c>
      <c r="F8" s="82">
        <f t="shared" si="1"/>
        <v>18.614172110903407</v>
      </c>
    </row>
    <row r="9" spans="1:6" ht="37.5" customHeight="1">
      <c r="A9" s="81">
        <v>6864034</v>
      </c>
      <c r="B9" s="8" t="s">
        <v>4</v>
      </c>
      <c r="C9" s="6">
        <f>'收入預算表'!E19</f>
        <v>8837940</v>
      </c>
      <c r="D9" s="6">
        <v>7685055</v>
      </c>
      <c r="E9" s="86">
        <f t="shared" si="0"/>
        <v>1152885</v>
      </c>
      <c r="F9" s="82">
        <f t="shared" si="1"/>
        <v>15.001649305047263</v>
      </c>
    </row>
    <row r="10" spans="1:6" ht="37.5" customHeight="1">
      <c r="A10" s="81">
        <v>11818628</v>
      </c>
      <c r="B10" s="8" t="s">
        <v>21</v>
      </c>
      <c r="C10" s="6">
        <f>'收入預算表'!E25</f>
        <v>8871201</v>
      </c>
      <c r="D10" s="6">
        <v>21769088</v>
      </c>
      <c r="E10" s="86">
        <f t="shared" si="0"/>
        <v>-12897887</v>
      </c>
      <c r="F10" s="82">
        <f t="shared" si="1"/>
        <v>-59.248632740149695</v>
      </c>
    </row>
    <row r="11" spans="1:6" ht="37.5" customHeight="1">
      <c r="A11" s="81">
        <v>63234752</v>
      </c>
      <c r="B11" s="8" t="s">
        <v>5</v>
      </c>
      <c r="C11" s="6">
        <f>'收入預算表'!E30</f>
        <v>29410510</v>
      </c>
      <c r="D11" s="6">
        <v>46163527</v>
      </c>
      <c r="E11" s="86">
        <f t="shared" si="0"/>
        <v>-16753017</v>
      </c>
      <c r="F11" s="82">
        <f t="shared" si="1"/>
        <v>-36.29059148795108</v>
      </c>
    </row>
    <row r="12" spans="1:6" ht="37.5" customHeight="1">
      <c r="A12" s="81">
        <v>13156636</v>
      </c>
      <c r="B12" s="8" t="s">
        <v>6</v>
      </c>
      <c r="C12" s="6">
        <f>'收入預算表'!E35</f>
        <v>20417880</v>
      </c>
      <c r="D12" s="6">
        <v>15312973</v>
      </c>
      <c r="E12" s="86">
        <f t="shared" si="0"/>
        <v>5104907</v>
      </c>
      <c r="F12" s="82">
        <f t="shared" si="1"/>
        <v>33.337138385864066</v>
      </c>
    </row>
    <row r="13" spans="1:6" ht="37.5" customHeight="1">
      <c r="A13" s="81">
        <f>SUM(A14:A21)</f>
        <v>158816429</v>
      </c>
      <c r="B13" s="7" t="s">
        <v>22</v>
      </c>
      <c r="C13" s="6">
        <f>SUM(C14:C21)</f>
        <v>178384263</v>
      </c>
      <c r="D13" s="6">
        <f>SUM(D14:D21)</f>
        <v>166067756</v>
      </c>
      <c r="E13" s="86">
        <f t="shared" si="0"/>
        <v>12316507</v>
      </c>
      <c r="F13" s="82">
        <f t="shared" si="1"/>
        <v>7.416555324562825</v>
      </c>
    </row>
    <row r="14" spans="1:6" ht="37.5" customHeight="1">
      <c r="A14" s="81">
        <v>1657661</v>
      </c>
      <c r="B14" s="8" t="s">
        <v>7</v>
      </c>
      <c r="C14" s="6">
        <f>'成本與費用預算表'!E7</f>
        <v>742200</v>
      </c>
      <c r="D14" s="6">
        <v>1656229</v>
      </c>
      <c r="E14" s="86">
        <f t="shared" si="0"/>
        <v>-914029</v>
      </c>
      <c r="F14" s="82">
        <f t="shared" si="1"/>
        <v>-55.187356337801106</v>
      </c>
    </row>
    <row r="15" spans="1:6" ht="37.5" customHeight="1">
      <c r="A15" s="81">
        <v>20151650</v>
      </c>
      <c r="B15" s="8" t="s">
        <v>8</v>
      </c>
      <c r="C15" s="6">
        <f>'成本與費用預算表'!E16</f>
        <v>22573443</v>
      </c>
      <c r="D15" s="6">
        <v>20756540</v>
      </c>
      <c r="E15" s="86">
        <f t="shared" si="0"/>
        <v>1816903</v>
      </c>
      <c r="F15" s="82">
        <f t="shared" si="1"/>
        <v>8.753400133162849</v>
      </c>
    </row>
    <row r="16" spans="1:6" ht="37.5" customHeight="1">
      <c r="A16" s="81">
        <v>63893764</v>
      </c>
      <c r="B16" s="8" t="s">
        <v>9</v>
      </c>
      <c r="C16" s="6">
        <f>'成本與費用預算表'!E34</f>
        <v>69612989</v>
      </c>
      <c r="D16" s="6">
        <v>62675810</v>
      </c>
      <c r="E16" s="86">
        <f t="shared" si="0"/>
        <v>6937179</v>
      </c>
      <c r="F16" s="82">
        <f t="shared" si="1"/>
        <v>11.068351569768305</v>
      </c>
    </row>
    <row r="17" spans="1:6" ht="37.5" customHeight="1">
      <c r="A17" s="81">
        <v>1188000</v>
      </c>
      <c r="B17" s="8" t="s">
        <v>10</v>
      </c>
      <c r="C17" s="6">
        <f>'成本與費用預算表'!E68</f>
        <v>1732000</v>
      </c>
      <c r="D17" s="6">
        <v>1313900</v>
      </c>
      <c r="E17" s="86">
        <f t="shared" si="0"/>
        <v>418100</v>
      </c>
      <c r="F17" s="82">
        <f t="shared" si="1"/>
        <v>31.82129538016592</v>
      </c>
    </row>
    <row r="18" spans="1:6" ht="37.5" customHeight="1">
      <c r="A18" s="81">
        <v>37381973</v>
      </c>
      <c r="B18" s="8" t="s">
        <v>16</v>
      </c>
      <c r="C18" s="6">
        <f>'成本與費用預算表'!E71</f>
        <v>47476284</v>
      </c>
      <c r="D18" s="6">
        <v>43924599</v>
      </c>
      <c r="E18" s="86">
        <f t="shared" si="0"/>
        <v>3551685</v>
      </c>
      <c r="F18" s="82">
        <f t="shared" si="1"/>
        <v>8.085867784473114</v>
      </c>
    </row>
    <row r="19" spans="1:6" ht="37.5" customHeight="1">
      <c r="A19" s="81">
        <v>4690456</v>
      </c>
      <c r="B19" s="8" t="s">
        <v>81</v>
      </c>
      <c r="C19" s="6">
        <f>'成本與費用預算表'!E84</f>
        <v>5000584</v>
      </c>
      <c r="D19" s="6">
        <v>4656900</v>
      </c>
      <c r="E19" s="86">
        <f t="shared" si="0"/>
        <v>343684</v>
      </c>
      <c r="F19" s="82">
        <f t="shared" si="1"/>
        <v>7.380102643389379</v>
      </c>
    </row>
    <row r="20" spans="1:6" ht="37.5" customHeight="1">
      <c r="A20" s="81">
        <v>4045530</v>
      </c>
      <c r="B20" s="8" t="s">
        <v>249</v>
      </c>
      <c r="C20" s="6">
        <v>1071244</v>
      </c>
      <c r="D20" s="6">
        <v>3925779</v>
      </c>
      <c r="E20" s="86">
        <f t="shared" si="0"/>
        <v>-2854535</v>
      </c>
      <c r="F20" s="82">
        <f t="shared" si="1"/>
        <v>-72.71257500740617</v>
      </c>
    </row>
    <row r="21" spans="1:6" ht="37.5" customHeight="1">
      <c r="A21" s="81">
        <v>25807395</v>
      </c>
      <c r="B21" s="8" t="s">
        <v>11</v>
      </c>
      <c r="C21" s="6">
        <f>'成本與費用預算表'!E87</f>
        <v>30175519</v>
      </c>
      <c r="D21" s="6">
        <v>27157999</v>
      </c>
      <c r="E21" s="86">
        <f t="shared" si="0"/>
        <v>3017520</v>
      </c>
      <c r="F21" s="82">
        <f>E21/D21*100</f>
        <v>11.110980599122932</v>
      </c>
    </row>
    <row r="22" spans="1:6" ht="37.5" customHeight="1" thickBot="1">
      <c r="A22" s="194">
        <f>A6-A13</f>
        <v>8734226</v>
      </c>
      <c r="B22" s="83" t="s">
        <v>23</v>
      </c>
      <c r="C22" s="84">
        <f>C6-C13</f>
        <v>-16099192</v>
      </c>
      <c r="D22" s="84">
        <f>D6-D13</f>
        <v>7134538</v>
      </c>
      <c r="E22" s="153">
        <f t="shared" si="0"/>
        <v>-23233730</v>
      </c>
      <c r="F22" s="85"/>
    </row>
  </sheetData>
  <sheetProtection password="CF4C" sheet="1"/>
  <mergeCells count="8">
    <mergeCell ref="A1:F1"/>
    <mergeCell ref="A2:F2"/>
    <mergeCell ref="E4:F4"/>
    <mergeCell ref="A4:A5"/>
    <mergeCell ref="B4:B5"/>
    <mergeCell ref="C4:C5"/>
    <mergeCell ref="D4:D5"/>
    <mergeCell ref="A3:F3"/>
  </mergeCells>
  <printOptions horizontalCentered="1"/>
  <pageMargins left="0.2362204724409449" right="0.2362204724409449" top="0.7480314960629921" bottom="0.7480314960629921" header="0.31496062992125984" footer="0.31496062992125984"/>
  <pageSetup horizontalDpi="600" verticalDpi="600" orientation="portrait" paperSize="9" r:id="rId3"/>
  <headerFooter>
    <oddHeader>&amp;R&amp;"標楷體,標準"
全&amp;P頁第&amp;N頁
         單位：新臺幣元</oddHeader>
    <oddFooter>&amp;C～　9　  ～</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1">
      <selection activeCell="A2" sqref="A2:H2"/>
    </sheetView>
  </sheetViews>
  <sheetFormatPr defaultColWidth="8.75390625" defaultRowHeight="15.75"/>
  <cols>
    <col min="1" max="1" width="3.625" style="27" customWidth="1"/>
    <col min="2" max="2" width="21.50390625" style="27" customWidth="1"/>
    <col min="3" max="3" width="15.50390625" style="27" customWidth="1"/>
    <col min="4" max="4" width="14.125" style="27" customWidth="1"/>
    <col min="5" max="5" width="13.50390625" style="27" customWidth="1"/>
    <col min="6" max="6" width="13.875" style="27" customWidth="1"/>
    <col min="7" max="7" width="15.50390625" style="27" customWidth="1"/>
    <col min="8" max="8" width="6.25390625" style="27" customWidth="1"/>
    <col min="9" max="9" width="8.75390625" style="27" customWidth="1"/>
    <col min="10" max="10" width="18.625" style="27" customWidth="1"/>
    <col min="11" max="16384" width="8.75390625" style="27" customWidth="1"/>
  </cols>
  <sheetData>
    <row r="1" spans="1:8" ht="27" customHeight="1">
      <c r="A1" s="252" t="s">
        <v>231</v>
      </c>
      <c r="B1" s="252"/>
      <c r="C1" s="252"/>
      <c r="D1" s="252"/>
      <c r="E1" s="252"/>
      <c r="F1" s="252"/>
      <c r="G1" s="252"/>
      <c r="H1" s="252"/>
    </row>
    <row r="2" spans="1:8" ht="27" customHeight="1">
      <c r="A2" s="252" t="s">
        <v>336</v>
      </c>
      <c r="B2" s="252"/>
      <c r="C2" s="252"/>
      <c r="D2" s="252"/>
      <c r="E2" s="252"/>
      <c r="F2" s="252"/>
      <c r="G2" s="252"/>
      <c r="H2" s="252"/>
    </row>
    <row r="3" spans="1:8" ht="27" customHeight="1" thickBot="1">
      <c r="A3" s="252" t="s">
        <v>247</v>
      </c>
      <c r="B3" s="252"/>
      <c r="C3" s="252"/>
      <c r="D3" s="252"/>
      <c r="E3" s="252"/>
      <c r="F3" s="252"/>
      <c r="G3" s="252"/>
      <c r="H3" s="252"/>
    </row>
    <row r="4" spans="1:8" ht="55.5" customHeight="1">
      <c r="A4" s="263" t="s">
        <v>17</v>
      </c>
      <c r="B4" s="264"/>
      <c r="C4" s="87" t="s">
        <v>159</v>
      </c>
      <c r="D4" s="87" t="s">
        <v>160</v>
      </c>
      <c r="E4" s="87" t="s">
        <v>25</v>
      </c>
      <c r="F4" s="87" t="s">
        <v>26</v>
      </c>
      <c r="G4" s="87" t="s">
        <v>27</v>
      </c>
      <c r="H4" s="88" t="s">
        <v>18</v>
      </c>
    </row>
    <row r="5" spans="1:8" ht="38.25" customHeight="1">
      <c r="A5" s="265" t="s">
        <v>28</v>
      </c>
      <c r="B5" s="266"/>
      <c r="C5" s="40">
        <v>0</v>
      </c>
      <c r="D5" s="40">
        <v>0</v>
      </c>
      <c r="E5" s="40">
        <v>0</v>
      </c>
      <c r="F5" s="40">
        <v>0</v>
      </c>
      <c r="G5" s="40">
        <f aca="true" t="shared" si="0" ref="G5:G10">C5+D5-E5+F5</f>
        <v>0</v>
      </c>
      <c r="H5" s="89"/>
    </row>
    <row r="6" spans="1:8" ht="38.25" customHeight="1">
      <c r="A6" s="96"/>
      <c r="B6" s="95" t="s">
        <v>165</v>
      </c>
      <c r="C6" s="6">
        <v>198563679</v>
      </c>
      <c r="D6" s="6">
        <v>5444522</v>
      </c>
      <c r="E6" s="9">
        <v>0</v>
      </c>
      <c r="F6" s="9">
        <v>0</v>
      </c>
      <c r="G6" s="226">
        <f>C6+D6-E6+F6</f>
        <v>204008201</v>
      </c>
      <c r="H6" s="91" t="s">
        <v>19</v>
      </c>
    </row>
    <row r="7" spans="1:10" ht="38.25" customHeight="1">
      <c r="A7" s="96"/>
      <c r="B7" s="95" t="s">
        <v>164</v>
      </c>
      <c r="C7" s="6">
        <v>129402553</v>
      </c>
      <c r="D7" s="243">
        <f>1335250+771000+590400</f>
        <v>2696650</v>
      </c>
      <c r="E7" s="6">
        <f>721631+2725724</f>
        <v>3447355</v>
      </c>
      <c r="F7" s="9"/>
      <c r="G7" s="226">
        <f>C7+D7-E7+F7</f>
        <v>128651848</v>
      </c>
      <c r="H7" s="91" t="s">
        <v>19</v>
      </c>
      <c r="J7" s="134"/>
    </row>
    <row r="8" spans="1:10" ht="38.25" customHeight="1">
      <c r="A8" s="96"/>
      <c r="B8" s="95" t="s">
        <v>163</v>
      </c>
      <c r="C8" s="6">
        <v>2706500</v>
      </c>
      <c r="D8" s="6">
        <v>6000</v>
      </c>
      <c r="E8" s="9">
        <v>0</v>
      </c>
      <c r="F8" s="9">
        <v>0</v>
      </c>
      <c r="G8" s="226">
        <f t="shared" si="0"/>
        <v>2712500</v>
      </c>
      <c r="H8" s="91" t="s">
        <v>19</v>
      </c>
      <c r="J8" s="41"/>
    </row>
    <row r="9" spans="1:11" ht="38.25" customHeight="1">
      <c r="A9" s="96"/>
      <c r="B9" s="95" t="s">
        <v>162</v>
      </c>
      <c r="C9" s="92">
        <v>19973316</v>
      </c>
      <c r="D9" s="9">
        <v>0</v>
      </c>
      <c r="E9" s="6">
        <v>1470</v>
      </c>
      <c r="F9" s="9">
        <v>0</v>
      </c>
      <c r="G9" s="226">
        <f t="shared" si="0"/>
        <v>19971846</v>
      </c>
      <c r="H9" s="91" t="s">
        <v>19</v>
      </c>
      <c r="K9" s="41"/>
    </row>
    <row r="10" spans="1:8" ht="38.25" customHeight="1">
      <c r="A10" s="267" t="s">
        <v>29</v>
      </c>
      <c r="B10" s="268"/>
      <c r="C10" s="9">
        <v>0</v>
      </c>
      <c r="D10" s="9">
        <v>0</v>
      </c>
      <c r="E10" s="9">
        <v>0</v>
      </c>
      <c r="F10" s="9">
        <v>0</v>
      </c>
      <c r="G10" s="40">
        <f t="shared" si="0"/>
        <v>0</v>
      </c>
      <c r="H10" s="91"/>
    </row>
    <row r="11" spans="1:8" ht="38.25" customHeight="1">
      <c r="A11" s="90" t="s">
        <v>30</v>
      </c>
      <c r="B11" s="95"/>
      <c r="C11" s="6">
        <f>SUM(C6:C10)</f>
        <v>350646048</v>
      </c>
      <c r="D11" s="6">
        <f>SUM(D6:D10)</f>
        <v>8147172</v>
      </c>
      <c r="E11" s="6">
        <f>SUM(E6:E10)</f>
        <v>3448825</v>
      </c>
      <c r="F11" s="9">
        <f>SUM(F5:F10)</f>
        <v>0</v>
      </c>
      <c r="G11" s="6">
        <f>SUM(G6:G10)</f>
        <v>355344395</v>
      </c>
      <c r="H11" s="91"/>
    </row>
    <row r="12" spans="1:8" ht="38.25" customHeight="1" thickBot="1">
      <c r="A12" s="260" t="s">
        <v>161</v>
      </c>
      <c r="B12" s="261"/>
      <c r="C12" s="93">
        <f>C11</f>
        <v>350646048</v>
      </c>
      <c r="D12" s="227">
        <f>D11</f>
        <v>8147172</v>
      </c>
      <c r="E12" s="227">
        <f>E11</f>
        <v>3448825</v>
      </c>
      <c r="F12" s="228">
        <v>0</v>
      </c>
      <c r="G12" s="227">
        <f>C12+D12-E12+F12</f>
        <v>355344395</v>
      </c>
      <c r="H12" s="94" t="s">
        <v>19</v>
      </c>
    </row>
    <row r="13" spans="1:8" ht="60" customHeight="1">
      <c r="A13" s="262" t="s">
        <v>337</v>
      </c>
      <c r="B13" s="262"/>
      <c r="C13" s="262"/>
      <c r="D13" s="262"/>
      <c r="E13" s="262"/>
      <c r="F13" s="262"/>
      <c r="G13" s="262"/>
      <c r="H13" s="262"/>
    </row>
    <row r="14" ht="16.5">
      <c r="C14" s="139"/>
    </row>
    <row r="15" ht="16.5">
      <c r="C15" s="139"/>
    </row>
  </sheetData>
  <sheetProtection password="CF4C" sheet="1"/>
  <mergeCells count="8">
    <mergeCell ref="A12:B12"/>
    <mergeCell ref="A13:H13"/>
    <mergeCell ref="A1:H1"/>
    <mergeCell ref="A2:H2"/>
    <mergeCell ref="A3:H3"/>
    <mergeCell ref="A4:B4"/>
    <mergeCell ref="A5:B5"/>
    <mergeCell ref="A10:B1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5" r:id="rId3"/>
  <headerFooter>
    <oddHeader>&amp;R&amp;"標楷體,標準"
全&amp;P頁第&amp;N頁
單位：新臺幣元</oddHeader>
    <oddFooter>&amp;C～　10　  ～</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85"/>
  <sheetViews>
    <sheetView zoomScalePageLayoutView="0" workbookViewId="0" topLeftCell="A1">
      <pane ySplit="2" topLeftCell="A3" activePane="bottomLeft" state="frozen"/>
      <selection pane="topLeft" activeCell="A1" sqref="A1"/>
      <selection pane="bottomLeft" activeCell="A2" sqref="A2:G2"/>
    </sheetView>
  </sheetViews>
  <sheetFormatPr defaultColWidth="9.00390625" defaultRowHeight="15.75"/>
  <cols>
    <col min="1" max="1" width="5.875" style="0" customWidth="1"/>
    <col min="2" max="2" width="33.75390625" style="137" customWidth="1"/>
    <col min="3" max="3" width="9.875" style="42" customWidth="1"/>
    <col min="4" max="4" width="5.875" style="42" customWidth="1"/>
    <col min="5" max="5" width="14.125" style="42" customWidth="1"/>
    <col min="6" max="6" width="12.875" style="42" customWidth="1"/>
    <col min="7" max="7" width="30.00390625" style="42" customWidth="1"/>
  </cols>
  <sheetData>
    <row r="1" spans="1:7" ht="19.5">
      <c r="A1" s="269" t="s">
        <v>233</v>
      </c>
      <c r="B1" s="269"/>
      <c r="C1" s="269"/>
      <c r="D1" s="269"/>
      <c r="E1" s="269"/>
      <c r="F1" s="269"/>
      <c r="G1" s="269"/>
    </row>
    <row r="2" spans="1:7" ht="19.5">
      <c r="A2" s="269" t="s">
        <v>348</v>
      </c>
      <c r="B2" s="269"/>
      <c r="C2" s="269"/>
      <c r="D2" s="269"/>
      <c r="E2" s="269"/>
      <c r="F2" s="269"/>
      <c r="G2" s="269"/>
    </row>
    <row r="3" spans="1:7" ht="20.25" thickBot="1">
      <c r="A3" s="270" t="s">
        <v>248</v>
      </c>
      <c r="B3" s="270"/>
      <c r="C3" s="270"/>
      <c r="D3" s="270"/>
      <c r="E3" s="270"/>
      <c r="F3" s="270"/>
      <c r="G3" s="270"/>
    </row>
    <row r="4" spans="1:7" ht="20.25" customHeight="1">
      <c r="A4" s="271" t="s">
        <v>40</v>
      </c>
      <c r="B4" s="272"/>
      <c r="C4" s="54" t="s">
        <v>36</v>
      </c>
      <c r="D4" s="55" t="s">
        <v>113</v>
      </c>
      <c r="E4" s="56" t="s">
        <v>103</v>
      </c>
      <c r="F4" s="56" t="s">
        <v>102</v>
      </c>
      <c r="G4" s="57" t="s">
        <v>101</v>
      </c>
    </row>
    <row r="5" spans="1:7" ht="19.5" customHeight="1">
      <c r="A5" s="58" t="s">
        <v>39</v>
      </c>
      <c r="B5" s="135"/>
      <c r="C5" s="59"/>
      <c r="D5" s="59"/>
      <c r="E5" s="273">
        <f>SUM(F6:F14)</f>
        <v>5444522</v>
      </c>
      <c r="F5" s="274"/>
      <c r="G5" s="138"/>
    </row>
    <row r="6" spans="1:7" ht="21" customHeight="1">
      <c r="A6" s="63"/>
      <c r="B6" s="51" t="s">
        <v>286</v>
      </c>
      <c r="C6" s="49" t="s">
        <v>38</v>
      </c>
      <c r="D6" s="29">
        <v>1</v>
      </c>
      <c r="E6" s="50">
        <v>2724522</v>
      </c>
      <c r="F6" s="44">
        <f>D6*E6</f>
        <v>2724522</v>
      </c>
      <c r="G6" s="218" t="s">
        <v>287</v>
      </c>
    </row>
    <row r="7" spans="1:7" ht="21" customHeight="1">
      <c r="A7" s="63"/>
      <c r="B7" s="51" t="s">
        <v>310</v>
      </c>
      <c r="C7" s="49"/>
      <c r="D7" s="29">
        <v>1</v>
      </c>
      <c r="E7" s="50">
        <v>500000</v>
      </c>
      <c r="F7" s="44">
        <f aca="true" t="shared" si="0" ref="F7:F14">D7*E7</f>
        <v>500000</v>
      </c>
      <c r="G7" s="218"/>
    </row>
    <row r="8" spans="1:7" ht="21" customHeight="1">
      <c r="A8" s="63"/>
      <c r="B8" s="51" t="s">
        <v>311</v>
      </c>
      <c r="C8" s="49"/>
      <c r="D8" s="29">
        <v>1</v>
      </c>
      <c r="E8" s="50">
        <v>200000</v>
      </c>
      <c r="F8" s="44">
        <f t="shared" si="0"/>
        <v>200000</v>
      </c>
      <c r="G8" s="218"/>
    </row>
    <row r="9" spans="1:7" ht="21" customHeight="1">
      <c r="A9" s="63"/>
      <c r="B9" s="51" t="s">
        <v>312</v>
      </c>
      <c r="C9" s="49"/>
      <c r="D9" s="29">
        <v>1</v>
      </c>
      <c r="E9" s="50">
        <v>150000</v>
      </c>
      <c r="F9" s="44">
        <f t="shared" si="0"/>
        <v>150000</v>
      </c>
      <c r="G9" s="218"/>
    </row>
    <row r="10" spans="1:7" ht="21" customHeight="1">
      <c r="A10" s="63"/>
      <c r="B10" s="51" t="s">
        <v>313</v>
      </c>
      <c r="C10" s="49"/>
      <c r="D10" s="29">
        <v>1</v>
      </c>
      <c r="E10" s="50">
        <v>150000</v>
      </c>
      <c r="F10" s="44">
        <f t="shared" si="0"/>
        <v>150000</v>
      </c>
      <c r="G10" s="218"/>
    </row>
    <row r="11" spans="1:7" ht="21" customHeight="1">
      <c r="A11" s="63"/>
      <c r="B11" s="51" t="s">
        <v>314</v>
      </c>
      <c r="C11" s="49"/>
      <c r="D11" s="29">
        <v>1</v>
      </c>
      <c r="E11" s="50">
        <v>120000</v>
      </c>
      <c r="F11" s="44">
        <f t="shared" si="0"/>
        <v>120000</v>
      </c>
      <c r="G11" s="218"/>
    </row>
    <row r="12" spans="1:7" ht="21" customHeight="1">
      <c r="A12" s="63"/>
      <c r="B12" s="51" t="s">
        <v>315</v>
      </c>
      <c r="C12" s="49"/>
      <c r="D12" s="29">
        <v>1</v>
      </c>
      <c r="E12" s="50">
        <v>600000</v>
      </c>
      <c r="F12" s="44">
        <f t="shared" si="0"/>
        <v>600000</v>
      </c>
      <c r="G12" s="218"/>
    </row>
    <row r="13" spans="1:7" ht="21" customHeight="1">
      <c r="A13" s="63"/>
      <c r="B13" s="51" t="s">
        <v>316</v>
      </c>
      <c r="C13" s="49"/>
      <c r="D13" s="29">
        <v>1</v>
      </c>
      <c r="E13" s="50">
        <v>500000</v>
      </c>
      <c r="F13" s="44">
        <f t="shared" si="0"/>
        <v>500000</v>
      </c>
      <c r="G13" s="218"/>
    </row>
    <row r="14" spans="1:7" ht="21" customHeight="1">
      <c r="A14" s="63"/>
      <c r="B14" s="51" t="s">
        <v>317</v>
      </c>
      <c r="C14" s="49"/>
      <c r="D14" s="29">
        <v>1</v>
      </c>
      <c r="E14" s="50">
        <v>500000</v>
      </c>
      <c r="F14" s="44">
        <f t="shared" si="0"/>
        <v>500000</v>
      </c>
      <c r="G14" s="218"/>
    </row>
    <row r="15" spans="1:7" ht="19.5" customHeight="1">
      <c r="A15" s="60" t="s">
        <v>104</v>
      </c>
      <c r="B15" s="136"/>
      <c r="C15" s="3"/>
      <c r="D15" s="3"/>
      <c r="E15" s="275">
        <f>E16+E25</f>
        <v>2696650</v>
      </c>
      <c r="F15" s="276"/>
      <c r="G15" s="61"/>
    </row>
    <row r="16" spans="1:7" ht="19.5" customHeight="1">
      <c r="A16" s="277" t="s">
        <v>111</v>
      </c>
      <c r="B16" s="278"/>
      <c r="C16" s="3"/>
      <c r="D16" s="3"/>
      <c r="E16" s="121">
        <f>SUM(F17:F24)</f>
        <v>1131000</v>
      </c>
      <c r="F16" s="106"/>
      <c r="G16" s="61"/>
    </row>
    <row r="17" spans="1:7" s="27" customFormat="1" ht="27.75" customHeight="1">
      <c r="A17" s="62"/>
      <c r="B17" s="53" t="s">
        <v>288</v>
      </c>
      <c r="C17" s="29" t="s">
        <v>105</v>
      </c>
      <c r="D17" s="28">
        <v>2</v>
      </c>
      <c r="E17" s="43">
        <v>90000</v>
      </c>
      <c r="F17" s="44">
        <f>D17*E17</f>
        <v>180000</v>
      </c>
      <c r="G17" s="138" t="s">
        <v>289</v>
      </c>
    </row>
    <row r="18" spans="1:7" s="27" customFormat="1" ht="27.75" customHeight="1">
      <c r="A18" s="62"/>
      <c r="B18" s="53" t="s">
        <v>290</v>
      </c>
      <c r="C18" s="29" t="s">
        <v>291</v>
      </c>
      <c r="D18" s="28">
        <v>5</v>
      </c>
      <c r="E18" s="43">
        <v>25000</v>
      </c>
      <c r="F18" s="44">
        <f>D18*E18</f>
        <v>125000</v>
      </c>
      <c r="G18" s="138" t="s">
        <v>289</v>
      </c>
    </row>
    <row r="19" spans="1:7" s="27" customFormat="1" ht="27.75" customHeight="1">
      <c r="A19" s="62"/>
      <c r="B19" s="53" t="s">
        <v>290</v>
      </c>
      <c r="C19" s="29" t="s">
        <v>292</v>
      </c>
      <c r="D19" s="28">
        <v>1</v>
      </c>
      <c r="E19" s="43">
        <v>25000</v>
      </c>
      <c r="F19" s="44">
        <f>D19*E19</f>
        <v>25000</v>
      </c>
      <c r="G19" s="138" t="s">
        <v>289</v>
      </c>
    </row>
    <row r="20" spans="1:7" s="27" customFormat="1" ht="27.75" customHeight="1">
      <c r="A20" s="62"/>
      <c r="B20" s="53" t="s">
        <v>293</v>
      </c>
      <c r="C20" s="29" t="s">
        <v>232</v>
      </c>
      <c r="D20" s="29">
        <v>1</v>
      </c>
      <c r="E20" s="43">
        <v>18000</v>
      </c>
      <c r="F20" s="44">
        <f>SUM(D20*E20)</f>
        <v>18000</v>
      </c>
      <c r="G20" s="138" t="s">
        <v>289</v>
      </c>
    </row>
    <row r="21" spans="1:7" s="27" customFormat="1" ht="33" customHeight="1">
      <c r="A21" s="244"/>
      <c r="B21" s="245" t="s">
        <v>338</v>
      </c>
      <c r="C21" s="246" t="s">
        <v>232</v>
      </c>
      <c r="D21" s="246">
        <v>1</v>
      </c>
      <c r="E21" s="247">
        <v>135000</v>
      </c>
      <c r="F21" s="248">
        <f>SUM(D21*E21)</f>
        <v>135000</v>
      </c>
      <c r="G21" s="289" t="s">
        <v>350</v>
      </c>
    </row>
    <row r="22" spans="1:7" s="27" customFormat="1" ht="33" customHeight="1">
      <c r="A22" s="244"/>
      <c r="B22" s="245" t="s">
        <v>339</v>
      </c>
      <c r="C22" s="246" t="s">
        <v>232</v>
      </c>
      <c r="D22" s="246">
        <v>4</v>
      </c>
      <c r="E22" s="247">
        <v>124200</v>
      </c>
      <c r="F22" s="248">
        <f>SUM(D22*E22)</f>
        <v>496800</v>
      </c>
      <c r="G22" s="290"/>
    </row>
    <row r="23" spans="1:7" s="27" customFormat="1" ht="33" customHeight="1">
      <c r="A23" s="244"/>
      <c r="B23" s="245" t="s">
        <v>340</v>
      </c>
      <c r="C23" s="246" t="s">
        <v>232</v>
      </c>
      <c r="D23" s="246">
        <v>1</v>
      </c>
      <c r="E23" s="247">
        <v>139200</v>
      </c>
      <c r="F23" s="248">
        <f>SUM(D23*E23)</f>
        <v>139200</v>
      </c>
      <c r="G23" s="291"/>
    </row>
    <row r="24" spans="1:7" s="27" customFormat="1" ht="33" customHeight="1">
      <c r="A24" s="62"/>
      <c r="B24" s="53" t="s">
        <v>290</v>
      </c>
      <c r="C24" s="29" t="s">
        <v>106</v>
      </c>
      <c r="D24" s="29">
        <v>1</v>
      </c>
      <c r="E24" s="43">
        <v>12000</v>
      </c>
      <c r="F24" s="44">
        <f>SUM(D24*E24)</f>
        <v>12000</v>
      </c>
      <c r="G24" s="229" t="s">
        <v>294</v>
      </c>
    </row>
    <row r="25" spans="1:7" s="27" customFormat="1" ht="30.75" customHeight="1">
      <c r="A25" s="277" t="s">
        <v>112</v>
      </c>
      <c r="B25" s="278"/>
      <c r="C25" s="29"/>
      <c r="D25" s="28"/>
      <c r="E25" s="107">
        <f>SUM(F26:F45)</f>
        <v>1565650</v>
      </c>
      <c r="F25" s="242"/>
      <c r="G25" s="64"/>
    </row>
    <row r="26" spans="1:7" s="27" customFormat="1" ht="35.25" customHeight="1">
      <c r="A26" s="65"/>
      <c r="B26" s="53" t="s">
        <v>295</v>
      </c>
      <c r="C26" s="29" t="s">
        <v>37</v>
      </c>
      <c r="D26" s="47">
        <v>1</v>
      </c>
      <c r="E26" s="45">
        <v>170000</v>
      </c>
      <c r="F26" s="44">
        <f>D26*E26</f>
        <v>170000</v>
      </c>
      <c r="G26" s="230" t="s">
        <v>296</v>
      </c>
    </row>
    <row r="27" spans="1:7" s="27" customFormat="1" ht="35.25" customHeight="1">
      <c r="A27" s="65"/>
      <c r="B27" s="53" t="s">
        <v>297</v>
      </c>
      <c r="C27" s="29" t="s">
        <v>298</v>
      </c>
      <c r="D27" s="47">
        <v>3</v>
      </c>
      <c r="E27" s="45">
        <v>27500</v>
      </c>
      <c r="F27" s="44">
        <f>D27*E27</f>
        <v>82500</v>
      </c>
      <c r="G27" s="230" t="s">
        <v>300</v>
      </c>
    </row>
    <row r="28" spans="1:7" s="27" customFormat="1" ht="35.25" customHeight="1">
      <c r="A28" s="65"/>
      <c r="B28" s="53" t="s">
        <v>299</v>
      </c>
      <c r="C28" s="29" t="s">
        <v>298</v>
      </c>
      <c r="D28" s="47">
        <v>1</v>
      </c>
      <c r="E28" s="45">
        <v>89250</v>
      </c>
      <c r="F28" s="44">
        <f>D28*E28</f>
        <v>89250</v>
      </c>
      <c r="G28" s="230" t="s">
        <v>301</v>
      </c>
    </row>
    <row r="29" spans="1:7" s="27" customFormat="1" ht="35.25" customHeight="1">
      <c r="A29" s="249"/>
      <c r="B29" s="245" t="s">
        <v>342</v>
      </c>
      <c r="C29" s="246" t="s">
        <v>341</v>
      </c>
      <c r="D29" s="250">
        <v>4</v>
      </c>
      <c r="E29" s="251">
        <v>33500</v>
      </c>
      <c r="F29" s="248">
        <f aca="true" t="shared" si="1" ref="F29:F34">D29*E29</f>
        <v>134000</v>
      </c>
      <c r="G29" s="289" t="s">
        <v>349</v>
      </c>
    </row>
    <row r="30" spans="1:7" s="27" customFormat="1" ht="35.25" customHeight="1">
      <c r="A30" s="249"/>
      <c r="B30" s="245" t="s">
        <v>343</v>
      </c>
      <c r="C30" s="246" t="s">
        <v>341</v>
      </c>
      <c r="D30" s="250">
        <v>1</v>
      </c>
      <c r="E30" s="251">
        <v>17400</v>
      </c>
      <c r="F30" s="248">
        <f t="shared" si="1"/>
        <v>17400</v>
      </c>
      <c r="G30" s="290"/>
    </row>
    <row r="31" spans="1:7" s="27" customFormat="1" ht="35.25" customHeight="1">
      <c r="A31" s="249"/>
      <c r="B31" s="245" t="s">
        <v>344</v>
      </c>
      <c r="C31" s="246" t="s">
        <v>341</v>
      </c>
      <c r="D31" s="250">
        <v>4</v>
      </c>
      <c r="E31" s="251">
        <v>14000</v>
      </c>
      <c r="F31" s="248">
        <f t="shared" si="1"/>
        <v>56000</v>
      </c>
      <c r="G31" s="290"/>
    </row>
    <row r="32" spans="1:7" s="27" customFormat="1" ht="35.25" customHeight="1">
      <c r="A32" s="249"/>
      <c r="B32" s="245" t="s">
        <v>345</v>
      </c>
      <c r="C32" s="246" t="s">
        <v>341</v>
      </c>
      <c r="D32" s="250">
        <v>2</v>
      </c>
      <c r="E32" s="251">
        <v>14000</v>
      </c>
      <c r="F32" s="248">
        <f t="shared" si="1"/>
        <v>28000</v>
      </c>
      <c r="G32" s="290"/>
    </row>
    <row r="33" spans="1:7" s="27" customFormat="1" ht="35.25" customHeight="1">
      <c r="A33" s="249"/>
      <c r="B33" s="245" t="s">
        <v>346</v>
      </c>
      <c r="C33" s="246" t="s">
        <v>341</v>
      </c>
      <c r="D33" s="250">
        <v>4</v>
      </c>
      <c r="E33" s="251">
        <v>32500</v>
      </c>
      <c r="F33" s="248">
        <f t="shared" si="1"/>
        <v>130000</v>
      </c>
      <c r="G33" s="290"/>
    </row>
    <row r="34" spans="1:7" s="27" customFormat="1" ht="35.25" customHeight="1">
      <c r="A34" s="249"/>
      <c r="B34" s="245" t="s">
        <v>347</v>
      </c>
      <c r="C34" s="246" t="s">
        <v>341</v>
      </c>
      <c r="D34" s="250">
        <v>1</v>
      </c>
      <c r="E34" s="251">
        <v>225000</v>
      </c>
      <c r="F34" s="248">
        <f t="shared" si="1"/>
        <v>225000</v>
      </c>
      <c r="G34" s="291"/>
    </row>
    <row r="35" spans="1:7" s="27" customFormat="1" ht="29.25" customHeight="1">
      <c r="A35" s="65"/>
      <c r="B35" s="53" t="s">
        <v>302</v>
      </c>
      <c r="C35" s="29" t="s">
        <v>107</v>
      </c>
      <c r="D35" s="47">
        <v>1</v>
      </c>
      <c r="E35" s="45">
        <v>75000</v>
      </c>
      <c r="F35" s="44">
        <f aca="true" t="shared" si="2" ref="F35:F47">D35*E35</f>
        <v>75000</v>
      </c>
      <c r="G35" s="279" t="s">
        <v>318</v>
      </c>
    </row>
    <row r="36" spans="1:7" s="27" customFormat="1" ht="29.25" customHeight="1">
      <c r="A36" s="65"/>
      <c r="B36" s="53" t="s">
        <v>320</v>
      </c>
      <c r="C36" s="29" t="s">
        <v>107</v>
      </c>
      <c r="D36" s="47">
        <v>10</v>
      </c>
      <c r="E36" s="233">
        <v>1460</v>
      </c>
      <c r="F36" s="44">
        <f t="shared" si="2"/>
        <v>14600</v>
      </c>
      <c r="G36" s="280"/>
    </row>
    <row r="37" spans="1:7" s="27" customFormat="1" ht="29.25" customHeight="1">
      <c r="A37" s="65"/>
      <c r="B37" s="53" t="s">
        <v>321</v>
      </c>
      <c r="C37" s="29" t="s">
        <v>107</v>
      </c>
      <c r="D37" s="47">
        <v>25</v>
      </c>
      <c r="E37" s="233">
        <v>650</v>
      </c>
      <c r="F37" s="44">
        <f t="shared" si="2"/>
        <v>16250</v>
      </c>
      <c r="G37" s="281"/>
    </row>
    <row r="38" spans="1:7" s="27" customFormat="1" ht="29.25" customHeight="1">
      <c r="A38" s="65"/>
      <c r="B38" s="53" t="s">
        <v>322</v>
      </c>
      <c r="C38" s="29" t="s">
        <v>107</v>
      </c>
      <c r="D38" s="47">
        <v>4</v>
      </c>
      <c r="E38" s="233">
        <v>50000</v>
      </c>
      <c r="F38" s="44">
        <f t="shared" si="2"/>
        <v>200000</v>
      </c>
      <c r="G38" s="230" t="s">
        <v>319</v>
      </c>
    </row>
    <row r="39" spans="1:7" s="27" customFormat="1" ht="29.25" customHeight="1">
      <c r="A39" s="65"/>
      <c r="B39" s="53" t="s">
        <v>323</v>
      </c>
      <c r="C39" s="29" t="s">
        <v>107</v>
      </c>
      <c r="D39" s="47">
        <v>1</v>
      </c>
      <c r="E39" s="233">
        <v>50000</v>
      </c>
      <c r="F39" s="44">
        <f t="shared" si="2"/>
        <v>50000</v>
      </c>
      <c r="G39" s="52" t="s">
        <v>326</v>
      </c>
    </row>
    <row r="40" spans="1:7" s="27" customFormat="1" ht="29.25" customHeight="1">
      <c r="A40" s="65"/>
      <c r="B40" s="53" t="s">
        <v>324</v>
      </c>
      <c r="C40" s="29" t="s">
        <v>107</v>
      </c>
      <c r="D40" s="47">
        <v>1</v>
      </c>
      <c r="E40" s="45">
        <v>19150</v>
      </c>
      <c r="F40" s="44">
        <f t="shared" si="2"/>
        <v>19150</v>
      </c>
      <c r="G40" s="52" t="s">
        <v>326</v>
      </c>
    </row>
    <row r="41" spans="1:7" s="27" customFormat="1" ht="29.25" customHeight="1">
      <c r="A41" s="65"/>
      <c r="B41" s="53" t="s">
        <v>303</v>
      </c>
      <c r="C41" s="29" t="s">
        <v>107</v>
      </c>
      <c r="D41" s="47">
        <v>1</v>
      </c>
      <c r="E41" s="45">
        <v>25000</v>
      </c>
      <c r="F41" s="44">
        <f>D41*E41</f>
        <v>25000</v>
      </c>
      <c r="G41" s="52" t="s">
        <v>326</v>
      </c>
    </row>
    <row r="42" spans="1:7" s="27" customFormat="1" ht="29.25" customHeight="1">
      <c r="A42" s="65"/>
      <c r="B42" s="53" t="s">
        <v>304</v>
      </c>
      <c r="C42" s="29" t="s">
        <v>107</v>
      </c>
      <c r="D42" s="47">
        <v>4</v>
      </c>
      <c r="E42" s="45">
        <v>3000</v>
      </c>
      <c r="F42" s="44">
        <f>D42*E42</f>
        <v>12000</v>
      </c>
      <c r="G42" s="282" t="s">
        <v>325</v>
      </c>
    </row>
    <row r="43" spans="1:7" s="27" customFormat="1" ht="29.25" customHeight="1">
      <c r="A43" s="65"/>
      <c r="B43" s="53" t="s">
        <v>305</v>
      </c>
      <c r="C43" s="29" t="s">
        <v>107</v>
      </c>
      <c r="D43" s="47">
        <v>70</v>
      </c>
      <c r="E43" s="45">
        <v>1400</v>
      </c>
      <c r="F43" s="44">
        <f t="shared" si="2"/>
        <v>98000</v>
      </c>
      <c r="G43" s="283"/>
    </row>
    <row r="44" spans="1:7" s="27" customFormat="1" ht="29.25" customHeight="1">
      <c r="A44" s="65"/>
      <c r="B44" s="53" t="s">
        <v>306</v>
      </c>
      <c r="C44" s="29" t="s">
        <v>107</v>
      </c>
      <c r="D44" s="47">
        <v>46</v>
      </c>
      <c r="E44" s="45">
        <v>2000</v>
      </c>
      <c r="F44" s="44">
        <f t="shared" si="2"/>
        <v>92000</v>
      </c>
      <c r="G44" s="283"/>
    </row>
    <row r="45" spans="1:7" s="27" customFormat="1" ht="29.25" customHeight="1">
      <c r="A45" s="65"/>
      <c r="B45" s="53" t="s">
        <v>307</v>
      </c>
      <c r="C45" s="29" t="s">
        <v>107</v>
      </c>
      <c r="D45" s="47">
        <v>45</v>
      </c>
      <c r="E45" s="45">
        <v>700</v>
      </c>
      <c r="F45" s="44">
        <f t="shared" si="2"/>
        <v>31500</v>
      </c>
      <c r="G45" s="284"/>
    </row>
    <row r="46" spans="1:7" s="27" customFormat="1" ht="29.25" customHeight="1">
      <c r="A46" s="66" t="s">
        <v>108</v>
      </c>
      <c r="B46" s="53"/>
      <c r="C46" s="29"/>
      <c r="D46" s="47"/>
      <c r="E46" s="107"/>
      <c r="F46" s="241">
        <f>F47</f>
        <v>6000</v>
      </c>
      <c r="G46" s="67"/>
    </row>
    <row r="47" spans="1:7" s="27" customFormat="1" ht="29.25" customHeight="1">
      <c r="A47" s="65"/>
      <c r="B47" s="51" t="str">
        <f>'[1]資本門'!$F$60</f>
        <v>圖書(充實館藏)</v>
      </c>
      <c r="C47" s="104" t="s">
        <v>328</v>
      </c>
      <c r="D47" s="231">
        <v>1</v>
      </c>
      <c r="E47" s="50">
        <v>6000</v>
      </c>
      <c r="F47" s="44">
        <f t="shared" si="2"/>
        <v>6000</v>
      </c>
      <c r="G47" s="138" t="s">
        <v>327</v>
      </c>
    </row>
    <row r="48" spans="1:7" s="27" customFormat="1" ht="29.25" customHeight="1">
      <c r="A48" s="66" t="s">
        <v>109</v>
      </c>
      <c r="B48" s="53"/>
      <c r="C48" s="29"/>
      <c r="D48" s="231">
        <v>0</v>
      </c>
      <c r="E48" s="45">
        <v>0</v>
      </c>
      <c r="F48" s="46">
        <v>0</v>
      </c>
      <c r="G48" s="67"/>
    </row>
    <row r="49" spans="1:7" s="27" customFormat="1" ht="74.25" customHeight="1" thickBot="1">
      <c r="A49" s="285" t="s">
        <v>110</v>
      </c>
      <c r="B49" s="286"/>
      <c r="C49" s="68"/>
      <c r="D49" s="68"/>
      <c r="E49" s="287">
        <f>E5+E15+F46+F48</f>
        <v>8147172</v>
      </c>
      <c r="F49" s="288"/>
      <c r="G49" s="97" t="s">
        <v>335</v>
      </c>
    </row>
    <row r="50" spans="3:7" ht="115.5" customHeight="1">
      <c r="C50"/>
      <c r="D50"/>
      <c r="E50"/>
      <c r="F50"/>
      <c r="G50"/>
    </row>
    <row r="52" spans="3:7" ht="115.5" customHeight="1">
      <c r="C52"/>
      <c r="D52"/>
      <c r="E52"/>
      <c r="F52"/>
      <c r="G52"/>
    </row>
    <row r="54" spans="3:7" ht="102" customHeight="1">
      <c r="C54"/>
      <c r="D54"/>
      <c r="E54"/>
      <c r="F54"/>
      <c r="G54"/>
    </row>
    <row r="55" spans="3:7" ht="26.25">
      <c r="C55"/>
      <c r="D55"/>
      <c r="E55"/>
      <c r="F55"/>
      <c r="G55"/>
    </row>
    <row r="69" ht="26.25"/>
    <row r="77" ht="26.25"/>
    <row r="85" spans="3:7" ht="26.25">
      <c r="C85"/>
      <c r="D85"/>
      <c r="E85"/>
      <c r="F85"/>
      <c r="G85"/>
    </row>
    <row r="99" ht="26.25"/>
    <row r="113" ht="26.25"/>
    <row r="114" ht="26.25"/>
    <row r="117" ht="26.25"/>
    <row r="118" ht="26.25"/>
    <row r="120" ht="26.25"/>
    <row r="121" ht="26.25"/>
    <row r="124" ht="26.25"/>
    <row r="125" ht="26.25"/>
    <row r="127" ht="26.25"/>
    <row r="128" ht="26.25"/>
    <row r="129" ht="26.25"/>
    <row r="130" ht="26.25"/>
    <row r="132" ht="26.25"/>
    <row r="133" ht="26.25"/>
    <row r="134" ht="26.25"/>
    <row r="135" ht="26.25"/>
    <row r="137" ht="26.25"/>
    <row r="138" ht="26.25"/>
    <row r="140" ht="26.25"/>
    <row r="141" ht="26.25"/>
    <row r="143" ht="26.25"/>
    <row r="144" ht="26.25"/>
    <row r="145" ht="26.25"/>
    <row r="147" ht="26.25"/>
    <row r="148" ht="26.25"/>
    <row r="149" ht="26.25"/>
    <row r="150" ht="26.25"/>
    <row r="152" ht="26.25"/>
    <row r="153" ht="26.25"/>
    <row r="154" ht="26.25"/>
    <row r="155" ht="26.25"/>
    <row r="156" ht="26.25"/>
    <row r="157" ht="26.25"/>
    <row r="159" ht="26.25"/>
    <row r="160" ht="26.25"/>
    <row r="161" ht="26.25"/>
    <row r="162" ht="26.25"/>
  </sheetData>
  <sheetProtection password="CF4C" sheet="1"/>
  <mergeCells count="14">
    <mergeCell ref="A16:B16"/>
    <mergeCell ref="A25:B25"/>
    <mergeCell ref="G35:G37"/>
    <mergeCell ref="G42:G45"/>
    <mergeCell ref="A49:B49"/>
    <mergeCell ref="E49:F49"/>
    <mergeCell ref="G29:G34"/>
    <mergeCell ref="G21:G23"/>
    <mergeCell ref="A1:G1"/>
    <mergeCell ref="A2:G2"/>
    <mergeCell ref="A3:G3"/>
    <mergeCell ref="A4:B4"/>
    <mergeCell ref="E5:F5"/>
    <mergeCell ref="E15:F15"/>
  </mergeCells>
  <printOptions/>
  <pageMargins left="0.07874015748031496" right="0.07874015748031496" top="0.7480314960629921" bottom="0.7480314960629921" header="0.31496062992125984" footer="0.31496062992125984"/>
  <pageSetup fitToHeight="5" fitToWidth="1" horizontalDpi="600" verticalDpi="600" orientation="portrait" paperSize="9" scale="89" r:id="rId1"/>
  <headerFooter>
    <oddHeader>&amp;R&amp;"標楷體,標準"
全&amp;N頁第&amp;P頁
單位：新臺幣元</oddHeader>
    <oddFooter>&amp;C～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66"/>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I63" sqref="I63"/>
    </sheetView>
  </sheetViews>
  <sheetFormatPr defaultColWidth="8.75390625" defaultRowHeight="15.75"/>
  <cols>
    <col min="1" max="1" width="13.50390625" style="27" customWidth="1"/>
    <col min="2" max="2" width="4.125" style="27" customWidth="1"/>
    <col min="3" max="3" width="1.25" style="27" customWidth="1"/>
    <col min="4" max="4" width="21.375" style="27" customWidth="1"/>
    <col min="5" max="5" width="15.25390625" style="166" customWidth="1"/>
    <col min="6" max="6" width="14.50390625" style="27" customWidth="1"/>
    <col min="7" max="7" width="15.00390625" style="27" customWidth="1"/>
    <col min="8" max="8" width="11.75390625" style="27" customWidth="1"/>
    <col min="9" max="9" width="17.00390625" style="27" customWidth="1"/>
    <col min="10" max="10" width="17.25390625" style="27" bestFit="1" customWidth="1"/>
    <col min="11" max="11" width="2.50390625" style="27" customWidth="1"/>
    <col min="12" max="15" width="9.00390625" style="27" hidden="1" customWidth="1"/>
    <col min="16" max="18" width="8.75390625" style="27" customWidth="1"/>
    <col min="19" max="19" width="16.00390625" style="27" customWidth="1"/>
    <col min="20" max="20" width="17.00390625" style="27" customWidth="1"/>
    <col min="21" max="27" width="8.75390625" style="27" customWidth="1"/>
    <col min="28" max="16384" width="8.75390625" style="27" customWidth="1"/>
  </cols>
  <sheetData>
    <row r="1" spans="1:9" ht="21.75" customHeight="1">
      <c r="A1" s="292" t="s">
        <v>231</v>
      </c>
      <c r="B1" s="292"/>
      <c r="C1" s="292"/>
      <c r="D1" s="292"/>
      <c r="E1" s="292"/>
      <c r="F1" s="292"/>
      <c r="G1" s="292"/>
      <c r="H1" s="292"/>
      <c r="I1" s="292"/>
    </row>
    <row r="2" spans="1:9" ht="21.75" customHeight="1">
      <c r="A2" s="292" t="s">
        <v>20</v>
      </c>
      <c r="B2" s="292"/>
      <c r="C2" s="292"/>
      <c r="D2" s="292"/>
      <c r="E2" s="292"/>
      <c r="F2" s="292"/>
      <c r="G2" s="292"/>
      <c r="H2" s="292"/>
      <c r="I2" s="292"/>
    </row>
    <row r="3" spans="1:9" ht="21.75" customHeight="1" thickBot="1">
      <c r="A3" s="292" t="s">
        <v>247</v>
      </c>
      <c r="B3" s="292"/>
      <c r="C3" s="292"/>
      <c r="D3" s="292"/>
      <c r="E3" s="292"/>
      <c r="F3" s="292"/>
      <c r="G3" s="292"/>
      <c r="H3" s="292"/>
      <c r="I3" s="292"/>
    </row>
    <row r="4" spans="1:9" ht="18.75" customHeight="1">
      <c r="A4" s="293" t="s">
        <v>241</v>
      </c>
      <c r="B4" s="302" t="s">
        <v>31</v>
      </c>
      <c r="C4" s="303"/>
      <c r="D4" s="304"/>
      <c r="E4" s="295" t="s">
        <v>242</v>
      </c>
      <c r="F4" s="297" t="s">
        <v>32</v>
      </c>
      <c r="G4" s="297" t="s">
        <v>33</v>
      </c>
      <c r="H4" s="301"/>
      <c r="I4" s="322" t="s">
        <v>18</v>
      </c>
    </row>
    <row r="5" spans="1:9" ht="18.75" customHeight="1">
      <c r="A5" s="294"/>
      <c r="B5" s="305"/>
      <c r="C5" s="306"/>
      <c r="D5" s="307"/>
      <c r="E5" s="296"/>
      <c r="F5" s="298"/>
      <c r="G5" s="298"/>
      <c r="H5" s="298"/>
      <c r="I5" s="323"/>
    </row>
    <row r="6" spans="1:9" ht="20.25" customHeight="1">
      <c r="A6" s="294"/>
      <c r="B6" s="308"/>
      <c r="C6" s="309"/>
      <c r="D6" s="310"/>
      <c r="E6" s="296"/>
      <c r="F6" s="298"/>
      <c r="G6" s="69" t="s">
        <v>34</v>
      </c>
      <c r="H6" s="69" t="s">
        <v>35</v>
      </c>
      <c r="I6" s="323"/>
    </row>
    <row r="7" spans="1:9" ht="25.5" customHeight="1">
      <c r="A7" s="81">
        <f>A8+A11+A14</f>
        <v>41401930</v>
      </c>
      <c r="B7" s="311" t="s">
        <v>70</v>
      </c>
      <c r="C7" s="312"/>
      <c r="D7" s="313"/>
      <c r="E7" s="163">
        <f>E8+E11+E14</f>
        <v>49747540</v>
      </c>
      <c r="F7" s="6">
        <f>F8+F11+F14</f>
        <v>44333520</v>
      </c>
      <c r="G7" s="86">
        <f aca="true" t="shared" si="0" ref="G7:H53">E7-F7</f>
        <v>5414020</v>
      </c>
      <c r="H7" s="168">
        <f>G7/F7*100</f>
        <v>12.212023768922476</v>
      </c>
      <c r="I7" s="202"/>
    </row>
    <row r="8" spans="1:9" ht="25.5" customHeight="1">
      <c r="A8" s="81">
        <f>A9+A10</f>
        <v>32948052</v>
      </c>
      <c r="B8" s="73"/>
      <c r="C8" s="312" t="s">
        <v>115</v>
      </c>
      <c r="D8" s="313"/>
      <c r="E8" s="163">
        <f>E9+E10</f>
        <v>39076800</v>
      </c>
      <c r="F8" s="6">
        <f>F9+F10</f>
        <v>35592452</v>
      </c>
      <c r="G8" s="86">
        <f t="shared" si="0"/>
        <v>3484348</v>
      </c>
      <c r="H8" s="168">
        <f>G8/F8*100</f>
        <v>9.789569990850868</v>
      </c>
      <c r="I8" s="314" t="s">
        <v>282</v>
      </c>
    </row>
    <row r="9" spans="1:9" ht="25.5" customHeight="1">
      <c r="A9" s="141">
        <v>32948052</v>
      </c>
      <c r="B9" s="73"/>
      <c r="C9" s="98"/>
      <c r="D9" s="220" t="s">
        <v>116</v>
      </c>
      <c r="E9" s="163">
        <f>'學費預估'!C4</f>
        <v>39076800</v>
      </c>
      <c r="F9" s="6">
        <v>35592452</v>
      </c>
      <c r="G9" s="86">
        <f t="shared" si="0"/>
        <v>3484348</v>
      </c>
      <c r="H9" s="168">
        <f>G9/F9*100</f>
        <v>9.789569990850868</v>
      </c>
      <c r="I9" s="315"/>
    </row>
    <row r="10" spans="1:9" ht="25.5" customHeight="1">
      <c r="A10" s="141">
        <v>0</v>
      </c>
      <c r="B10" s="73"/>
      <c r="C10" s="98"/>
      <c r="D10" s="220" t="s">
        <v>117</v>
      </c>
      <c r="E10" s="70">
        <v>0</v>
      </c>
      <c r="F10" s="70">
        <v>0</v>
      </c>
      <c r="G10" s="86">
        <f t="shared" si="0"/>
        <v>0</v>
      </c>
      <c r="H10" s="86">
        <f t="shared" si="0"/>
        <v>0</v>
      </c>
      <c r="I10" s="315"/>
    </row>
    <row r="11" spans="1:9" ht="25.5" customHeight="1">
      <c r="A11" s="81">
        <f>A12+A13</f>
        <v>4772738</v>
      </c>
      <c r="B11" s="101"/>
      <c r="C11" s="102" t="s">
        <v>157</v>
      </c>
      <c r="D11" s="103"/>
      <c r="E11" s="70">
        <f>E12+E13</f>
        <v>6655960</v>
      </c>
      <c r="F11" s="70">
        <f>F12+F13</f>
        <v>4977418</v>
      </c>
      <c r="G11" s="86">
        <f t="shared" si="0"/>
        <v>1678542</v>
      </c>
      <c r="H11" s="168">
        <f>G11/F11*100</f>
        <v>33.72314722211395</v>
      </c>
      <c r="I11" s="315"/>
    </row>
    <row r="12" spans="1:9" ht="25.5" customHeight="1">
      <c r="A12" s="141">
        <v>4772738</v>
      </c>
      <c r="B12" s="73"/>
      <c r="C12" s="98"/>
      <c r="D12" s="76" t="s">
        <v>118</v>
      </c>
      <c r="E12" s="163">
        <f>'學費預估'!E5</f>
        <v>6655960</v>
      </c>
      <c r="F12" s="6">
        <v>4977418</v>
      </c>
      <c r="G12" s="86">
        <f t="shared" si="0"/>
        <v>1678542</v>
      </c>
      <c r="H12" s="168">
        <f aca="true" t="shared" si="1" ref="H12:H63">G12/F12*100</f>
        <v>33.72314722211395</v>
      </c>
      <c r="I12" s="316"/>
    </row>
    <row r="13" spans="1:9" ht="25.5" customHeight="1">
      <c r="A13" s="141">
        <v>0</v>
      </c>
      <c r="B13" s="75"/>
      <c r="C13" s="99"/>
      <c r="D13" s="79" t="s">
        <v>119</v>
      </c>
      <c r="E13" s="163">
        <v>0</v>
      </c>
      <c r="F13" s="6">
        <v>0</v>
      </c>
      <c r="G13" s="86">
        <f t="shared" si="0"/>
        <v>0</v>
      </c>
      <c r="H13" s="86">
        <f t="shared" si="0"/>
        <v>0</v>
      </c>
      <c r="I13" s="142"/>
    </row>
    <row r="14" spans="1:9" ht="25.5" customHeight="1">
      <c r="A14" s="143">
        <f>A15+A16</f>
        <v>3681140</v>
      </c>
      <c r="B14" s="129"/>
      <c r="C14" s="102" t="s">
        <v>158</v>
      </c>
      <c r="D14" s="103"/>
      <c r="E14" s="163">
        <f>E15+E16</f>
        <v>4014780</v>
      </c>
      <c r="F14" s="6">
        <f>F15+F16</f>
        <v>3763650</v>
      </c>
      <c r="G14" s="86">
        <f t="shared" si="0"/>
        <v>251130</v>
      </c>
      <c r="H14" s="168">
        <f t="shared" si="1"/>
        <v>6.672512056115738</v>
      </c>
      <c r="I14" s="142"/>
    </row>
    <row r="15" spans="1:9" ht="25.5" customHeight="1">
      <c r="A15" s="141">
        <v>3681140</v>
      </c>
      <c r="B15" s="73"/>
      <c r="C15" s="98"/>
      <c r="D15" s="76" t="s">
        <v>120</v>
      </c>
      <c r="E15" s="163">
        <f>'學費預估'!G5</f>
        <v>4014780</v>
      </c>
      <c r="F15" s="6">
        <v>3763650</v>
      </c>
      <c r="G15" s="86">
        <f t="shared" si="0"/>
        <v>251130</v>
      </c>
      <c r="H15" s="168">
        <f t="shared" si="1"/>
        <v>6.672512056115738</v>
      </c>
      <c r="I15" s="193"/>
    </row>
    <row r="16" spans="1:9" ht="25.5" customHeight="1">
      <c r="A16" s="141">
        <v>0</v>
      </c>
      <c r="B16" s="73"/>
      <c r="C16" s="98"/>
      <c r="D16" s="76" t="s">
        <v>121</v>
      </c>
      <c r="E16" s="163">
        <v>0</v>
      </c>
      <c r="F16" s="9">
        <v>0</v>
      </c>
      <c r="G16" s="86">
        <f t="shared" si="0"/>
        <v>0</v>
      </c>
      <c r="H16" s="86">
        <f t="shared" si="0"/>
        <v>0</v>
      </c>
      <c r="I16" s="144"/>
    </row>
    <row r="17" spans="1:9" ht="25.5" customHeight="1">
      <c r="A17" s="141">
        <f>A18+A19</f>
        <v>37938709</v>
      </c>
      <c r="B17" s="31" t="s">
        <v>75</v>
      </c>
      <c r="C17" s="39"/>
      <c r="D17" s="31"/>
      <c r="E17" s="163">
        <f>E18+E19</f>
        <v>53837940</v>
      </c>
      <c r="F17" s="6">
        <f>F18+F19</f>
        <v>45623186</v>
      </c>
      <c r="G17" s="86">
        <f t="shared" si="0"/>
        <v>8214754</v>
      </c>
      <c r="H17" s="168">
        <f t="shared" si="1"/>
        <v>18.005656159129263</v>
      </c>
      <c r="I17" s="128"/>
    </row>
    <row r="18" spans="1:9" ht="93.75" customHeight="1">
      <c r="A18" s="81">
        <v>31074675</v>
      </c>
      <c r="B18" s="39" t="s">
        <v>73</v>
      </c>
      <c r="C18" s="39"/>
      <c r="D18" s="39"/>
      <c r="E18" s="163">
        <v>45000000</v>
      </c>
      <c r="F18" s="6">
        <v>37938131</v>
      </c>
      <c r="G18" s="86">
        <f t="shared" si="0"/>
        <v>7061869</v>
      </c>
      <c r="H18" s="168">
        <f t="shared" si="1"/>
        <v>18.614172110903407</v>
      </c>
      <c r="I18" s="144" t="s">
        <v>281</v>
      </c>
    </row>
    <row r="19" spans="1:9" ht="36.75" customHeight="1">
      <c r="A19" s="143">
        <f>SUM(A20:A24)</f>
        <v>6864034</v>
      </c>
      <c r="B19" s="39" t="s">
        <v>74</v>
      </c>
      <c r="C19" s="39"/>
      <c r="D19" s="39"/>
      <c r="E19" s="163">
        <f>SUM(E20:E24)</f>
        <v>8837940</v>
      </c>
      <c r="F19" s="70">
        <f>SUM(F20:F24)</f>
        <v>7685055</v>
      </c>
      <c r="G19" s="86">
        <f t="shared" si="0"/>
        <v>1152885</v>
      </c>
      <c r="H19" s="168">
        <f t="shared" si="1"/>
        <v>15.001649305047263</v>
      </c>
      <c r="I19" s="144"/>
    </row>
    <row r="20" spans="1:9" ht="36.75" customHeight="1">
      <c r="A20" s="81">
        <v>3254625</v>
      </c>
      <c r="B20" s="219"/>
      <c r="C20" s="220" t="s">
        <v>122</v>
      </c>
      <c r="D20" s="220"/>
      <c r="E20" s="163">
        <v>3483100</v>
      </c>
      <c r="F20" s="6">
        <v>3314825</v>
      </c>
      <c r="G20" s="86">
        <f t="shared" si="0"/>
        <v>168275</v>
      </c>
      <c r="H20" s="168">
        <f t="shared" si="1"/>
        <v>5.076436915975957</v>
      </c>
      <c r="I20" s="146"/>
    </row>
    <row r="21" spans="1:9" ht="36.75" customHeight="1">
      <c r="A21" s="81">
        <v>1545325</v>
      </c>
      <c r="B21" s="219"/>
      <c r="C21" s="220" t="s">
        <v>123</v>
      </c>
      <c r="D21" s="220"/>
      <c r="E21" s="163">
        <v>2505936</v>
      </c>
      <c r="F21" s="130">
        <v>2340400</v>
      </c>
      <c r="G21" s="86">
        <f t="shared" si="0"/>
        <v>165536</v>
      </c>
      <c r="H21" s="168">
        <f t="shared" si="1"/>
        <v>7.072978977952486</v>
      </c>
      <c r="I21" s="146"/>
    </row>
    <row r="22" spans="1:9" ht="36.75" customHeight="1">
      <c r="A22" s="145">
        <v>0</v>
      </c>
      <c r="B22" s="48"/>
      <c r="C22" s="299" t="s">
        <v>167</v>
      </c>
      <c r="D22" s="300"/>
      <c r="E22" s="163">
        <v>562800</v>
      </c>
      <c r="F22" s="130">
        <v>405500</v>
      </c>
      <c r="G22" s="86">
        <f t="shared" si="0"/>
        <v>157300</v>
      </c>
      <c r="H22" s="168">
        <f t="shared" si="1"/>
        <v>38.79161528976572</v>
      </c>
      <c r="I22" s="317" t="s">
        <v>282</v>
      </c>
    </row>
    <row r="23" spans="1:9" ht="36.75" customHeight="1">
      <c r="A23" s="145">
        <v>815760</v>
      </c>
      <c r="B23" s="48"/>
      <c r="C23" s="299" t="s">
        <v>124</v>
      </c>
      <c r="D23" s="300"/>
      <c r="E23" s="163">
        <v>684504</v>
      </c>
      <c r="F23" s="130">
        <v>624330</v>
      </c>
      <c r="G23" s="86">
        <f t="shared" si="0"/>
        <v>60174</v>
      </c>
      <c r="H23" s="168">
        <f t="shared" si="1"/>
        <v>9.63817212051319</v>
      </c>
      <c r="I23" s="318"/>
    </row>
    <row r="24" spans="1:9" ht="36.75" customHeight="1">
      <c r="A24" s="141">
        <v>1248324</v>
      </c>
      <c r="B24" s="48"/>
      <c r="C24" s="299" t="s">
        <v>125</v>
      </c>
      <c r="D24" s="300"/>
      <c r="E24" s="163">
        <v>1601600</v>
      </c>
      <c r="F24" s="130">
        <v>1000000</v>
      </c>
      <c r="G24" s="86">
        <f t="shared" si="0"/>
        <v>601600</v>
      </c>
      <c r="H24" s="185">
        <f t="shared" si="1"/>
        <v>60.160000000000004</v>
      </c>
      <c r="I24" s="319"/>
    </row>
    <row r="25" spans="1:9" ht="36.75" customHeight="1">
      <c r="A25" s="81">
        <f>A26+A29</f>
        <v>11818628</v>
      </c>
      <c r="B25" s="311" t="s">
        <v>71</v>
      </c>
      <c r="C25" s="312"/>
      <c r="D25" s="313"/>
      <c r="E25" s="163">
        <f>E26+E29</f>
        <v>8871201</v>
      </c>
      <c r="F25" s="130">
        <f>F26+F29</f>
        <v>21769088</v>
      </c>
      <c r="G25" s="86">
        <f t="shared" si="0"/>
        <v>-12897887</v>
      </c>
      <c r="H25" s="168">
        <f t="shared" si="1"/>
        <v>-59.248632740149695</v>
      </c>
      <c r="I25" s="147"/>
    </row>
    <row r="26" spans="1:9" ht="36.75" customHeight="1">
      <c r="A26" s="81">
        <f>A27+A28</f>
        <v>11388880</v>
      </c>
      <c r="B26" s="73"/>
      <c r="C26" s="76" t="s">
        <v>126</v>
      </c>
      <c r="D26" s="76"/>
      <c r="E26" s="163">
        <f>E27+E28</f>
        <v>8621201</v>
      </c>
      <c r="F26" s="130">
        <f>F27+F28</f>
        <v>21519088</v>
      </c>
      <c r="G26" s="86">
        <f t="shared" si="0"/>
        <v>-12897887</v>
      </c>
      <c r="H26" s="168">
        <f t="shared" si="1"/>
        <v>-59.93695922429426</v>
      </c>
      <c r="I26" s="147"/>
    </row>
    <row r="27" spans="1:9" ht="90" customHeight="1">
      <c r="A27" s="148">
        <f>3537675+1309122+301373+220000+92750+120960+150000+55000+251000</f>
        <v>6037880</v>
      </c>
      <c r="B27" s="75"/>
      <c r="C27" s="99"/>
      <c r="D27" s="79" t="s">
        <v>127</v>
      </c>
      <c r="E27" s="163">
        <f>8871201-E28-E29</f>
        <v>3104201</v>
      </c>
      <c r="F27" s="130">
        <f>21769088-F28-F29</f>
        <v>17721678</v>
      </c>
      <c r="G27" s="86">
        <f t="shared" si="0"/>
        <v>-14617477</v>
      </c>
      <c r="H27" s="168">
        <f t="shared" si="1"/>
        <v>-82.48359438649095</v>
      </c>
      <c r="I27" s="146" t="s">
        <v>280</v>
      </c>
    </row>
    <row r="28" spans="1:9" ht="31.5" customHeight="1">
      <c r="A28" s="81">
        <v>5351000</v>
      </c>
      <c r="B28" s="73"/>
      <c r="C28" s="98"/>
      <c r="D28" s="76" t="s">
        <v>128</v>
      </c>
      <c r="E28" s="163">
        <v>5517000</v>
      </c>
      <c r="F28" s="130">
        <v>3797410</v>
      </c>
      <c r="G28" s="86">
        <f t="shared" si="0"/>
        <v>1719590</v>
      </c>
      <c r="H28" s="168">
        <f t="shared" si="1"/>
        <v>45.283232519006376</v>
      </c>
      <c r="I28" s="149"/>
    </row>
    <row r="29" spans="1:9" ht="48.75" customHeight="1">
      <c r="A29" s="81">
        <v>429748</v>
      </c>
      <c r="B29" s="73"/>
      <c r="C29" s="98"/>
      <c r="D29" s="76" t="s">
        <v>166</v>
      </c>
      <c r="E29" s="163">
        <v>250000</v>
      </c>
      <c r="F29" s="130">
        <v>250000</v>
      </c>
      <c r="G29" s="86">
        <f t="shared" si="0"/>
        <v>0</v>
      </c>
      <c r="H29" s="168">
        <f t="shared" si="1"/>
        <v>0</v>
      </c>
      <c r="I29" s="128"/>
    </row>
    <row r="30" spans="1:9" ht="24.75" customHeight="1">
      <c r="A30" s="143">
        <f>A31+A34</f>
        <v>63234752</v>
      </c>
      <c r="B30" s="311" t="s">
        <v>72</v>
      </c>
      <c r="C30" s="312"/>
      <c r="D30" s="313"/>
      <c r="E30" s="163">
        <f>E31+E34</f>
        <v>29410510</v>
      </c>
      <c r="F30" s="130">
        <f>F31+F34</f>
        <v>46163527</v>
      </c>
      <c r="G30" s="86">
        <f t="shared" si="0"/>
        <v>-16753017</v>
      </c>
      <c r="H30" s="168">
        <f t="shared" si="1"/>
        <v>-36.29059148795108</v>
      </c>
      <c r="I30" s="147"/>
    </row>
    <row r="31" spans="1:9" ht="24.75" customHeight="1">
      <c r="A31" s="143">
        <f>A32+A33</f>
        <v>10954446</v>
      </c>
      <c r="B31" s="73"/>
      <c r="C31" s="76" t="s">
        <v>129</v>
      </c>
      <c r="D31" s="76"/>
      <c r="E31" s="163">
        <f>E32+E33</f>
        <v>15000000</v>
      </c>
      <c r="F31" s="130">
        <f>F32+F33</f>
        <v>10000000</v>
      </c>
      <c r="G31" s="86">
        <f t="shared" si="0"/>
        <v>5000000</v>
      </c>
      <c r="H31" s="168">
        <f t="shared" si="1"/>
        <v>50</v>
      </c>
      <c r="I31" s="147"/>
    </row>
    <row r="32" spans="1:9" ht="50.25" customHeight="1">
      <c r="A32" s="195">
        <v>10326547</v>
      </c>
      <c r="B32" s="73"/>
      <c r="C32" s="98"/>
      <c r="D32" s="76" t="s">
        <v>130</v>
      </c>
      <c r="E32" s="163">
        <f>15000000-650000</f>
        <v>14350000</v>
      </c>
      <c r="F32" s="130">
        <f>10000000-F33</f>
        <v>9400000</v>
      </c>
      <c r="G32" s="86">
        <f t="shared" si="0"/>
        <v>4950000</v>
      </c>
      <c r="H32" s="168">
        <f t="shared" si="1"/>
        <v>52.659574468085104</v>
      </c>
      <c r="I32" s="149" t="s">
        <v>283</v>
      </c>
    </row>
    <row r="33" spans="1:10" ht="26.25" customHeight="1">
      <c r="A33" s="195">
        <v>627899</v>
      </c>
      <c r="B33" s="73"/>
      <c r="C33" s="98"/>
      <c r="D33" s="76" t="s">
        <v>131</v>
      </c>
      <c r="E33" s="186">
        <v>650000</v>
      </c>
      <c r="F33" s="130">
        <v>600000</v>
      </c>
      <c r="G33" s="86">
        <f t="shared" si="0"/>
        <v>50000</v>
      </c>
      <c r="H33" s="168">
        <f t="shared" si="1"/>
        <v>8.333333333333332</v>
      </c>
      <c r="I33" s="128"/>
      <c r="J33" s="134"/>
    </row>
    <row r="34" spans="1:9" ht="99" customHeight="1">
      <c r="A34" s="143">
        <v>52280306</v>
      </c>
      <c r="B34" s="73"/>
      <c r="C34" s="76" t="s">
        <v>132</v>
      </c>
      <c r="D34" s="76"/>
      <c r="E34" s="163">
        <f>14410510</f>
        <v>14410510</v>
      </c>
      <c r="F34" s="130">
        <f>17760784+18402743</f>
        <v>36163527</v>
      </c>
      <c r="G34" s="86">
        <f t="shared" si="0"/>
        <v>-21753017</v>
      </c>
      <c r="H34" s="168">
        <f t="shared" si="1"/>
        <v>-60.151812626019584</v>
      </c>
      <c r="I34" s="128" t="s">
        <v>253</v>
      </c>
    </row>
    <row r="35" spans="1:9" ht="24.75" customHeight="1">
      <c r="A35" s="143">
        <f>A36+A61</f>
        <v>13156636</v>
      </c>
      <c r="B35" s="71" t="s">
        <v>76</v>
      </c>
      <c r="C35" s="100"/>
      <c r="D35" s="77"/>
      <c r="E35" s="164">
        <f>E36+E61+E60+E62</f>
        <v>20417880</v>
      </c>
      <c r="F35" s="131">
        <f>F36+F60+F61</f>
        <v>15312973</v>
      </c>
      <c r="G35" s="86">
        <f t="shared" si="0"/>
        <v>5104907</v>
      </c>
      <c r="H35" s="168">
        <f t="shared" si="1"/>
        <v>33.337138385864066</v>
      </c>
      <c r="I35" s="147"/>
    </row>
    <row r="36" spans="1:9" ht="24.75" customHeight="1">
      <c r="A36" s="143">
        <f>A37+A40+A41+A42+A43+A44+A45+A48+A49+A50+A51+A52+A53+A54+A55+A56+A57+A58+A59</f>
        <v>9842356</v>
      </c>
      <c r="B36" s="72"/>
      <c r="C36" s="78" t="s">
        <v>114</v>
      </c>
      <c r="D36" s="78"/>
      <c r="E36" s="165">
        <f>E37+E40+E41+E42+E43+E44+E45+E48+E49+E50+E51+E52+E53+E54+E55+E56+E57+E58+E59</f>
        <v>12713600</v>
      </c>
      <c r="F36" s="132">
        <f>F37+F40+F41+F42+F43+F44+F45+F48+F49+F50+F51+F52+F53+F54+F55+F56+F57+F58+F59</f>
        <v>11136008</v>
      </c>
      <c r="G36" s="86">
        <f t="shared" si="0"/>
        <v>1577592</v>
      </c>
      <c r="H36" s="168">
        <f t="shared" si="1"/>
        <v>14.166584650442063</v>
      </c>
      <c r="I36" s="147"/>
    </row>
    <row r="37" spans="1:9" ht="24.75" customHeight="1">
      <c r="A37" s="143">
        <f>A38+A39</f>
        <v>55830</v>
      </c>
      <c r="B37" s="73"/>
      <c r="C37" s="76" t="s">
        <v>133</v>
      </c>
      <c r="D37" s="76"/>
      <c r="E37" s="164">
        <f>E38+E39</f>
        <v>60000</v>
      </c>
      <c r="F37" s="132">
        <f>F38+F39</f>
        <v>42000</v>
      </c>
      <c r="G37" s="86">
        <f t="shared" si="0"/>
        <v>18000</v>
      </c>
      <c r="H37" s="168">
        <f t="shared" si="1"/>
        <v>42.857142857142854</v>
      </c>
      <c r="I37" s="147"/>
    </row>
    <row r="38" spans="1:9" ht="51" customHeight="1">
      <c r="A38" s="143">
        <v>39260</v>
      </c>
      <c r="B38" s="73"/>
      <c r="C38" s="98"/>
      <c r="D38" s="76" t="s">
        <v>134</v>
      </c>
      <c r="E38" s="164">
        <f>60000-E39</f>
        <v>48100</v>
      </c>
      <c r="F38" s="132">
        <f>42000-F39</f>
        <v>31100</v>
      </c>
      <c r="G38" s="86">
        <f t="shared" si="0"/>
        <v>17000</v>
      </c>
      <c r="H38" s="168">
        <f t="shared" si="1"/>
        <v>54.662379421221864</v>
      </c>
      <c r="I38" s="149" t="s">
        <v>284</v>
      </c>
    </row>
    <row r="39" spans="1:9" ht="24.75" customHeight="1">
      <c r="A39" s="143">
        <v>16570</v>
      </c>
      <c r="B39" s="73"/>
      <c r="C39" s="98"/>
      <c r="D39" s="76" t="s">
        <v>135</v>
      </c>
      <c r="E39" s="164">
        <v>11900</v>
      </c>
      <c r="F39" s="132">
        <v>10900</v>
      </c>
      <c r="G39" s="86">
        <f t="shared" si="0"/>
        <v>1000</v>
      </c>
      <c r="H39" s="168">
        <f t="shared" si="1"/>
        <v>9.174311926605505</v>
      </c>
      <c r="I39" s="150"/>
    </row>
    <row r="40" spans="1:9" ht="28.5" customHeight="1">
      <c r="A40" s="141">
        <v>557859</v>
      </c>
      <c r="B40" s="74"/>
      <c r="C40" s="320" t="s">
        <v>136</v>
      </c>
      <c r="D40" s="321"/>
      <c r="E40" s="164">
        <v>600000</v>
      </c>
      <c r="F40" s="132">
        <v>598888</v>
      </c>
      <c r="G40" s="86">
        <f t="shared" si="0"/>
        <v>1112</v>
      </c>
      <c r="H40" s="168">
        <f t="shared" si="1"/>
        <v>0.18567745555095444</v>
      </c>
      <c r="I40" s="150"/>
    </row>
    <row r="41" spans="1:9" ht="24.75" customHeight="1">
      <c r="A41" s="141">
        <v>240689</v>
      </c>
      <c r="B41" s="73"/>
      <c r="C41" s="98" t="s">
        <v>137</v>
      </c>
      <c r="D41" s="76"/>
      <c r="E41" s="164">
        <v>260000</v>
      </c>
      <c r="F41" s="132">
        <v>264400</v>
      </c>
      <c r="G41" s="86">
        <f t="shared" si="0"/>
        <v>-4400</v>
      </c>
      <c r="H41" s="168">
        <f t="shared" si="1"/>
        <v>-1.6641452344931922</v>
      </c>
      <c r="I41" s="150"/>
    </row>
    <row r="42" spans="1:10" ht="72" customHeight="1">
      <c r="A42" s="141">
        <v>360500</v>
      </c>
      <c r="B42" s="73"/>
      <c r="C42" s="98" t="s">
        <v>138</v>
      </c>
      <c r="D42" s="76"/>
      <c r="E42" s="164">
        <v>354000</v>
      </c>
      <c r="F42" s="132">
        <v>354000</v>
      </c>
      <c r="G42" s="86">
        <f t="shared" si="0"/>
        <v>0</v>
      </c>
      <c r="H42" s="168">
        <f t="shared" si="1"/>
        <v>0</v>
      </c>
      <c r="I42" s="149"/>
      <c r="J42" s="41"/>
    </row>
    <row r="43" spans="1:9" ht="51" customHeight="1">
      <c r="A43" s="141">
        <v>822045</v>
      </c>
      <c r="B43" s="73"/>
      <c r="C43" s="98" t="s">
        <v>139</v>
      </c>
      <c r="D43" s="76"/>
      <c r="E43" s="164">
        <v>1000000</v>
      </c>
      <c r="F43" s="132">
        <v>850000</v>
      </c>
      <c r="G43" s="86">
        <f t="shared" si="0"/>
        <v>150000</v>
      </c>
      <c r="H43" s="168">
        <f t="shared" si="1"/>
        <v>17.647058823529413</v>
      </c>
      <c r="I43" s="149" t="s">
        <v>252</v>
      </c>
    </row>
    <row r="44" spans="1:10" ht="73.5" customHeight="1">
      <c r="A44" s="141">
        <v>238995</v>
      </c>
      <c r="B44" s="73"/>
      <c r="C44" s="98" t="s">
        <v>140</v>
      </c>
      <c r="D44" s="76"/>
      <c r="E44" s="164">
        <v>240000</v>
      </c>
      <c r="F44" s="132">
        <v>282012</v>
      </c>
      <c r="G44" s="86">
        <f t="shared" si="0"/>
        <v>-42012</v>
      </c>
      <c r="H44" s="168">
        <f t="shared" si="1"/>
        <v>-14.89723841538658</v>
      </c>
      <c r="I44" s="149" t="s">
        <v>285</v>
      </c>
      <c r="J44" s="41"/>
    </row>
    <row r="45" spans="1:9" ht="24.75" customHeight="1">
      <c r="A45" s="141">
        <f>A46+A47</f>
        <v>1401001</v>
      </c>
      <c r="B45" s="73"/>
      <c r="C45" s="98" t="s">
        <v>141</v>
      </c>
      <c r="D45" s="76"/>
      <c r="E45" s="132">
        <f>E46+E47</f>
        <v>1640000</v>
      </c>
      <c r="F45" s="132">
        <f>F46+F47</f>
        <v>1466080</v>
      </c>
      <c r="G45" s="86">
        <f t="shared" si="0"/>
        <v>173920</v>
      </c>
      <c r="H45" s="168">
        <f t="shared" si="1"/>
        <v>11.86292698897741</v>
      </c>
      <c r="I45" s="149"/>
    </row>
    <row r="46" spans="1:9" ht="24.75" customHeight="1">
      <c r="A46" s="141">
        <v>1401001</v>
      </c>
      <c r="B46" s="73"/>
      <c r="C46" s="98"/>
      <c r="D46" s="76" t="s">
        <v>142</v>
      </c>
      <c r="E46" s="164">
        <v>1640000</v>
      </c>
      <c r="F46" s="132">
        <v>1466080</v>
      </c>
      <c r="G46" s="86">
        <f t="shared" si="0"/>
        <v>173920</v>
      </c>
      <c r="H46" s="168">
        <f t="shared" si="1"/>
        <v>11.86292698897741</v>
      </c>
      <c r="I46" s="238" t="s">
        <v>282</v>
      </c>
    </row>
    <row r="47" spans="1:9" ht="24.75" customHeight="1">
      <c r="A47" s="141">
        <v>0</v>
      </c>
      <c r="B47" s="73"/>
      <c r="C47" s="98"/>
      <c r="D47" s="76" t="s">
        <v>143</v>
      </c>
      <c r="E47" s="164">
        <v>0</v>
      </c>
      <c r="F47" s="132">
        <v>0</v>
      </c>
      <c r="G47" s="86">
        <f t="shared" si="0"/>
        <v>0</v>
      </c>
      <c r="H47" s="86">
        <f t="shared" si="0"/>
        <v>0</v>
      </c>
      <c r="I47" s="150"/>
    </row>
    <row r="48" spans="1:9" ht="31.5" customHeight="1">
      <c r="A48" s="141">
        <v>238397</v>
      </c>
      <c r="B48" s="73"/>
      <c r="C48" s="98" t="s">
        <v>144</v>
      </c>
      <c r="D48" s="76"/>
      <c r="E48" s="164">
        <v>210000</v>
      </c>
      <c r="F48" s="132">
        <v>207647</v>
      </c>
      <c r="G48" s="86">
        <f t="shared" si="0"/>
        <v>2353</v>
      </c>
      <c r="H48" s="168">
        <f t="shared" si="1"/>
        <v>1.1331731255447948</v>
      </c>
      <c r="I48" s="151"/>
    </row>
    <row r="49" spans="1:9" ht="39.75" customHeight="1">
      <c r="A49" s="141">
        <v>50000</v>
      </c>
      <c r="B49" s="73"/>
      <c r="C49" s="98" t="s">
        <v>145</v>
      </c>
      <c r="D49" s="76"/>
      <c r="E49" s="164">
        <v>600000</v>
      </c>
      <c r="F49" s="132">
        <v>292000</v>
      </c>
      <c r="G49" s="86">
        <f t="shared" si="0"/>
        <v>308000</v>
      </c>
      <c r="H49" s="168">
        <f t="shared" si="1"/>
        <v>105.47945205479452</v>
      </c>
      <c r="I49" s="151" t="s">
        <v>334</v>
      </c>
    </row>
    <row r="50" spans="1:9" ht="24.75" customHeight="1">
      <c r="A50" s="141">
        <v>2376650</v>
      </c>
      <c r="B50" s="73"/>
      <c r="C50" s="98" t="s">
        <v>146</v>
      </c>
      <c r="D50" s="76"/>
      <c r="E50" s="164">
        <f>2742600+290455</f>
        <v>3033055</v>
      </c>
      <c r="F50" s="132">
        <v>2742600</v>
      </c>
      <c r="G50" s="86">
        <f t="shared" si="0"/>
        <v>290455</v>
      </c>
      <c r="H50" s="168">
        <f t="shared" si="1"/>
        <v>10.590498067527164</v>
      </c>
      <c r="I50" s="327" t="s">
        <v>251</v>
      </c>
    </row>
    <row r="51" spans="1:9" ht="24.75" customHeight="1">
      <c r="A51" s="141">
        <v>534700</v>
      </c>
      <c r="B51" s="73"/>
      <c r="C51" s="98" t="s">
        <v>147</v>
      </c>
      <c r="D51" s="76"/>
      <c r="E51" s="164">
        <f>746400+90000</f>
        <v>836400</v>
      </c>
      <c r="F51" s="132">
        <v>746400</v>
      </c>
      <c r="G51" s="86">
        <f t="shared" si="0"/>
        <v>90000</v>
      </c>
      <c r="H51" s="168">
        <f t="shared" si="1"/>
        <v>12.057877813504824</v>
      </c>
      <c r="I51" s="328"/>
    </row>
    <row r="52" spans="1:9" ht="24.75" customHeight="1">
      <c r="A52" s="141">
        <v>179800</v>
      </c>
      <c r="B52" s="73"/>
      <c r="C52" s="76" t="s">
        <v>148</v>
      </c>
      <c r="D52" s="76"/>
      <c r="E52" s="164">
        <f>240300+150000</f>
        <v>390300</v>
      </c>
      <c r="F52" s="132">
        <v>240300</v>
      </c>
      <c r="G52" s="86">
        <f t="shared" si="0"/>
        <v>150000</v>
      </c>
      <c r="H52" s="168">
        <f t="shared" si="1"/>
        <v>62.421972534332085</v>
      </c>
      <c r="I52" s="328"/>
    </row>
    <row r="53" spans="1:9" ht="24.75" customHeight="1">
      <c r="A53" s="141">
        <v>30750</v>
      </c>
      <c r="B53" s="73"/>
      <c r="C53" s="76" t="s">
        <v>149</v>
      </c>
      <c r="D53" s="76"/>
      <c r="E53" s="164">
        <f>86750+20000</f>
        <v>106750</v>
      </c>
      <c r="F53" s="132">
        <v>86750</v>
      </c>
      <c r="G53" s="86">
        <f t="shared" si="0"/>
        <v>20000</v>
      </c>
      <c r="H53" s="168">
        <f t="shared" si="1"/>
        <v>23.054755043227665</v>
      </c>
      <c r="I53" s="328"/>
    </row>
    <row r="54" spans="1:9" ht="24.75" customHeight="1">
      <c r="A54" s="141">
        <v>219506</v>
      </c>
      <c r="B54" s="73"/>
      <c r="C54" s="76" t="s">
        <v>150</v>
      </c>
      <c r="D54" s="76"/>
      <c r="E54" s="164">
        <f>240906+150000</f>
        <v>390906</v>
      </c>
      <c r="F54" s="132">
        <v>240906</v>
      </c>
      <c r="G54" s="86">
        <f aca="true" t="shared" si="2" ref="G54:G63">E54-F54</f>
        <v>150000</v>
      </c>
      <c r="H54" s="168">
        <f t="shared" si="1"/>
        <v>62.26494981445045</v>
      </c>
      <c r="I54" s="328"/>
    </row>
    <row r="55" spans="1:9" ht="24.75" customHeight="1">
      <c r="A55" s="141">
        <v>100</v>
      </c>
      <c r="B55" s="73"/>
      <c r="C55" s="76" t="s">
        <v>151</v>
      </c>
      <c r="D55" s="76"/>
      <c r="E55" s="164">
        <v>100</v>
      </c>
      <c r="F55" s="132">
        <v>0</v>
      </c>
      <c r="G55" s="86">
        <f t="shared" si="2"/>
        <v>100</v>
      </c>
      <c r="H55" s="168" t="e">
        <f t="shared" si="1"/>
        <v>#DIV/0!</v>
      </c>
      <c r="I55" s="328"/>
    </row>
    <row r="56" spans="1:9" ht="24.75" customHeight="1">
      <c r="A56" s="141">
        <v>117904</v>
      </c>
      <c r="B56" s="73"/>
      <c r="C56" s="76" t="s">
        <v>152</v>
      </c>
      <c r="D56" s="76"/>
      <c r="E56" s="164">
        <f>142489+100000</f>
        <v>242489</v>
      </c>
      <c r="F56" s="132">
        <v>142489</v>
      </c>
      <c r="G56" s="86">
        <f t="shared" si="2"/>
        <v>100000</v>
      </c>
      <c r="H56" s="168">
        <f t="shared" si="1"/>
        <v>70.1808560660823</v>
      </c>
      <c r="I56" s="329"/>
    </row>
    <row r="57" spans="1:9" ht="34.5" customHeight="1">
      <c r="A57" s="141">
        <f>287080+140000</f>
        <v>427080</v>
      </c>
      <c r="B57" s="73"/>
      <c r="C57" s="105" t="s">
        <v>153</v>
      </c>
      <c r="D57" s="76"/>
      <c r="E57" s="164">
        <v>249600</v>
      </c>
      <c r="F57" s="71">
        <v>246200</v>
      </c>
      <c r="G57" s="86">
        <f t="shared" si="2"/>
        <v>3400</v>
      </c>
      <c r="H57" s="168">
        <f t="shared" si="1"/>
        <v>1.380991064175467</v>
      </c>
      <c r="I57" s="128"/>
    </row>
    <row r="58" spans="1:9" ht="32.25" customHeight="1">
      <c r="A58" s="141">
        <v>500</v>
      </c>
      <c r="B58" s="75"/>
      <c r="C58" s="299" t="s">
        <v>154</v>
      </c>
      <c r="D58" s="300"/>
      <c r="E58" s="164">
        <v>0</v>
      </c>
      <c r="F58" s="71">
        <v>0</v>
      </c>
      <c r="G58" s="86">
        <f t="shared" si="2"/>
        <v>0</v>
      </c>
      <c r="H58" s="168" t="e">
        <f t="shared" si="1"/>
        <v>#DIV/0!</v>
      </c>
      <c r="I58" s="128"/>
    </row>
    <row r="59" spans="1:9" ht="61.5" customHeight="1">
      <c r="A59" s="141">
        <v>1990050</v>
      </c>
      <c r="B59" s="73"/>
      <c r="C59" s="76" t="s">
        <v>155</v>
      </c>
      <c r="D59" s="76"/>
      <c r="E59" s="164">
        <v>2500000</v>
      </c>
      <c r="F59" s="71">
        <v>2333336</v>
      </c>
      <c r="G59" s="86">
        <f t="shared" si="2"/>
        <v>166664</v>
      </c>
      <c r="H59" s="168">
        <f t="shared" si="1"/>
        <v>7.142734694017492</v>
      </c>
      <c r="I59" s="128"/>
    </row>
    <row r="60" spans="1:9" ht="24.75" customHeight="1">
      <c r="A60" s="141"/>
      <c r="B60" s="76" t="s">
        <v>243</v>
      </c>
      <c r="C60" s="76"/>
      <c r="D60" s="76"/>
      <c r="E60" s="164">
        <v>790000</v>
      </c>
      <c r="F60" s="71">
        <v>862685</v>
      </c>
      <c r="G60" s="86">
        <f t="shared" si="2"/>
        <v>-72685</v>
      </c>
      <c r="H60" s="168">
        <f t="shared" si="1"/>
        <v>-8.425439181161142</v>
      </c>
      <c r="I60" s="128"/>
    </row>
    <row r="61" spans="1:9" ht="24.75" customHeight="1">
      <c r="A61" s="141">
        <v>3314280</v>
      </c>
      <c r="B61" s="76" t="s">
        <v>156</v>
      </c>
      <c r="C61" s="76"/>
      <c r="D61" s="76"/>
      <c r="E61" s="164">
        <v>3314280</v>
      </c>
      <c r="F61" s="71">
        <v>3314280</v>
      </c>
      <c r="G61" s="86">
        <f t="shared" si="2"/>
        <v>0</v>
      </c>
      <c r="H61" s="168">
        <f t="shared" si="1"/>
        <v>0</v>
      </c>
      <c r="I61" s="147"/>
    </row>
    <row r="62" spans="1:9" ht="24.75" customHeight="1">
      <c r="A62" s="196"/>
      <c r="B62" s="311" t="s">
        <v>250</v>
      </c>
      <c r="C62" s="312"/>
      <c r="D62" s="313"/>
      <c r="E62" s="197">
        <v>3600000</v>
      </c>
      <c r="F62" s="198">
        <v>0</v>
      </c>
      <c r="G62" s="199">
        <f t="shared" si="2"/>
        <v>3600000</v>
      </c>
      <c r="H62" s="200" t="e">
        <f t="shared" si="1"/>
        <v>#DIV/0!</v>
      </c>
      <c r="I62" s="201"/>
    </row>
    <row r="63" spans="1:9" ht="24.75" customHeight="1" thickBot="1">
      <c r="A63" s="152">
        <f>A7+A17+A25+A30+A35</f>
        <v>167550655</v>
      </c>
      <c r="B63" s="324" t="s">
        <v>77</v>
      </c>
      <c r="C63" s="325"/>
      <c r="D63" s="326"/>
      <c r="E63" s="93">
        <f>E7+E17+E25+E30+E35</f>
        <v>162285071</v>
      </c>
      <c r="F63" s="93">
        <f>F7+F17+F25+F30+F35</f>
        <v>173202294</v>
      </c>
      <c r="G63" s="153">
        <f t="shared" si="2"/>
        <v>-10917223</v>
      </c>
      <c r="H63" s="169">
        <f t="shared" si="1"/>
        <v>-6.303163051639489</v>
      </c>
      <c r="I63" s="154"/>
    </row>
    <row r="64" spans="1:8" ht="16.5" hidden="1">
      <c r="A64" s="139">
        <f>'收支餘絀預計表'!A6</f>
        <v>167550655</v>
      </c>
      <c r="E64" s="166">
        <f>'收支餘絀預計表'!C6</f>
        <v>162285071</v>
      </c>
      <c r="F64" s="139">
        <f>'收支餘絀預計表'!D6</f>
        <v>173202294</v>
      </c>
      <c r="G64" s="134">
        <f>'收支餘絀預計表'!E6</f>
        <v>-10917223</v>
      </c>
      <c r="H64" s="140">
        <f>G64/F64*100</f>
        <v>-6.303163051639489</v>
      </c>
    </row>
    <row r="65" spans="1:8" ht="16.5" hidden="1">
      <c r="A65" s="139">
        <f>A63-A64</f>
        <v>0</v>
      </c>
      <c r="E65" s="166">
        <f>E63-E64</f>
        <v>0</v>
      </c>
      <c r="F65" s="139">
        <f>F63-F64</f>
        <v>0</v>
      </c>
      <c r="G65" s="139">
        <f>G63-G64</f>
        <v>0</v>
      </c>
      <c r="H65" s="139">
        <f>H63-H64</f>
        <v>0</v>
      </c>
    </row>
    <row r="66" ht="16.5">
      <c r="G66" s="125"/>
    </row>
  </sheetData>
  <sheetProtection password="CF4C" sheet="1"/>
  <mergeCells count="23">
    <mergeCell ref="B62:D62"/>
    <mergeCell ref="I4:I6"/>
    <mergeCell ref="B63:D63"/>
    <mergeCell ref="B30:D30"/>
    <mergeCell ref="C8:D8"/>
    <mergeCell ref="C22:D22"/>
    <mergeCell ref="C23:D23"/>
    <mergeCell ref="I50:I56"/>
    <mergeCell ref="B25:D25"/>
    <mergeCell ref="C24:D24"/>
    <mergeCell ref="C58:D58"/>
    <mergeCell ref="G4:H5"/>
    <mergeCell ref="B4:D6"/>
    <mergeCell ref="B7:D7"/>
    <mergeCell ref="I8:I12"/>
    <mergeCell ref="I22:I24"/>
    <mergeCell ref="C40:D40"/>
    <mergeCell ref="A1:I1"/>
    <mergeCell ref="A2:I2"/>
    <mergeCell ref="A4:A6"/>
    <mergeCell ref="E4:E6"/>
    <mergeCell ref="F4:F6"/>
    <mergeCell ref="A3:I3"/>
  </mergeCells>
  <printOptions horizontalCentered="1"/>
  <pageMargins left="0.2362204724409449" right="0.2362204724409449" top="0.4724409448818898" bottom="0.3937007874015748" header="0.31496062992125984" footer="0.31496062992125984"/>
  <pageSetup fitToHeight="4" fitToWidth="1" horizontalDpi="600" verticalDpi="600" orientation="portrait" paperSize="9" scale="87" r:id="rId3"/>
  <headerFooter>
    <oddHeader>&amp;R&amp;"標楷體,標準"全&amp;N頁第&amp;P頁
單位：新臺幣元</oddHeader>
    <oddFooter>&amp;C-      -</oddFooter>
  </headerFooter>
  <legacyDrawing r:id="rId2"/>
</worksheet>
</file>

<file path=xl/worksheets/sheet5.xml><?xml version="1.0" encoding="utf-8"?>
<worksheet xmlns="http://schemas.openxmlformats.org/spreadsheetml/2006/main" xmlns:r="http://schemas.openxmlformats.org/officeDocument/2006/relationships">
  <dimension ref="A1:O41"/>
  <sheetViews>
    <sheetView workbookViewId="0" topLeftCell="A1">
      <selection activeCell="K7" sqref="K7"/>
    </sheetView>
  </sheetViews>
  <sheetFormatPr defaultColWidth="9.00390625" defaultRowHeight="15.75"/>
  <cols>
    <col min="1" max="1" width="11.375" style="18" customWidth="1"/>
    <col min="2" max="4" width="11.375" style="23" customWidth="1"/>
    <col min="5" max="5" width="12.00390625" style="23" customWidth="1"/>
    <col min="6" max="8" width="13.00390625" style="10" customWidth="1"/>
    <col min="9" max="9" width="13.625" style="10" bestFit="1" customWidth="1"/>
    <col min="10" max="10" width="8.00390625" style="10" customWidth="1"/>
    <col min="11" max="11" width="13.625" style="10" bestFit="1" customWidth="1"/>
    <col min="12" max="12" width="8.125" style="10" customWidth="1"/>
    <col min="13" max="13" width="11.50390625" style="10" bestFit="1" customWidth="1"/>
    <col min="14" max="14" width="9.875" style="10" bestFit="1" customWidth="1"/>
    <col min="15" max="15" width="11.50390625" style="10" bestFit="1" customWidth="1"/>
    <col min="16" max="16384" width="9.00390625" style="10" customWidth="1"/>
  </cols>
  <sheetData>
    <row r="1" spans="1:8" ht="18" customHeight="1" thickBot="1">
      <c r="A1" s="343" t="s">
        <v>254</v>
      </c>
      <c r="B1" s="343"/>
      <c r="C1" s="343"/>
      <c r="D1" s="343"/>
      <c r="E1" s="343"/>
      <c r="F1" s="343"/>
      <c r="G1" s="343"/>
      <c r="H1" s="343"/>
    </row>
    <row r="2" spans="1:8" ht="18" customHeight="1" thickTop="1">
      <c r="A2" s="344" t="s">
        <v>82</v>
      </c>
      <c r="B2" s="346" t="s">
        <v>63</v>
      </c>
      <c r="C2" s="346"/>
      <c r="D2" s="346"/>
      <c r="E2" s="346"/>
      <c r="F2" s="346"/>
      <c r="G2" s="346"/>
      <c r="H2" s="347" t="s">
        <v>83</v>
      </c>
    </row>
    <row r="3" spans="1:8" ht="18" customHeight="1">
      <c r="A3" s="345"/>
      <c r="B3" s="12" t="s">
        <v>84</v>
      </c>
      <c r="C3" s="349" t="s">
        <v>85</v>
      </c>
      <c r="D3" s="349"/>
      <c r="E3" s="341" t="s">
        <v>64</v>
      </c>
      <c r="F3" s="341"/>
      <c r="G3" s="12" t="s">
        <v>86</v>
      </c>
      <c r="H3" s="348"/>
    </row>
    <row r="4" spans="1:8" ht="18" customHeight="1">
      <c r="A4" s="11"/>
      <c r="B4" s="203">
        <f>E18</f>
        <v>820</v>
      </c>
      <c r="C4" s="341">
        <f>SUM(F18)</f>
        <v>39076800</v>
      </c>
      <c r="D4" s="341"/>
      <c r="E4" s="341">
        <f>SUM(G18)</f>
        <v>6655960</v>
      </c>
      <c r="F4" s="341"/>
      <c r="G4" s="204">
        <f>SUM(H18)</f>
        <v>4014780</v>
      </c>
      <c r="H4" s="15">
        <f>SUM(C4:G4)</f>
        <v>49747540</v>
      </c>
    </row>
    <row r="5" spans="1:8" ht="18" customHeight="1" thickBot="1">
      <c r="A5" s="16" t="s">
        <v>87</v>
      </c>
      <c r="B5" s="205">
        <f>SUM(B4:B4)</f>
        <v>820</v>
      </c>
      <c r="C5" s="342">
        <f>SUM(C4:D4)</f>
        <v>39076800</v>
      </c>
      <c r="D5" s="342"/>
      <c r="E5" s="342">
        <f>SUM(E4:F4)</f>
        <v>6655960</v>
      </c>
      <c r="F5" s="342"/>
      <c r="G5" s="206">
        <f>SUM(G4:G4)</f>
        <v>4014780</v>
      </c>
      <c r="H5" s="17">
        <f>SUM(C5:G5)</f>
        <v>49747540</v>
      </c>
    </row>
    <row r="6" spans="1:8" ht="18" customHeight="1" thickBot="1" thickTop="1">
      <c r="A6" s="343" t="s">
        <v>255</v>
      </c>
      <c r="B6" s="343"/>
      <c r="C6" s="343"/>
      <c r="D6" s="343"/>
      <c r="E6" s="343"/>
      <c r="F6" s="343"/>
      <c r="G6" s="343"/>
      <c r="H6" s="343"/>
    </row>
    <row r="7" spans="1:10" ht="18" customHeight="1" thickTop="1">
      <c r="A7" s="344" t="s">
        <v>88</v>
      </c>
      <c r="B7" s="346" t="s">
        <v>89</v>
      </c>
      <c r="C7" s="346"/>
      <c r="D7" s="346"/>
      <c r="E7" s="346"/>
      <c r="F7" s="346" t="s">
        <v>90</v>
      </c>
      <c r="G7" s="346"/>
      <c r="H7" s="347"/>
      <c r="J7" s="207"/>
    </row>
    <row r="8" spans="1:15" s="18" customFormat="1" ht="18" customHeight="1">
      <c r="A8" s="345"/>
      <c r="B8" s="208" t="s">
        <v>91</v>
      </c>
      <c r="C8" s="13" t="s">
        <v>92</v>
      </c>
      <c r="D8" s="13" t="s">
        <v>93</v>
      </c>
      <c r="E8" s="13" t="s">
        <v>94</v>
      </c>
      <c r="F8" s="12" t="s">
        <v>85</v>
      </c>
      <c r="G8" s="12" t="s">
        <v>95</v>
      </c>
      <c r="H8" s="14" t="s">
        <v>86</v>
      </c>
      <c r="I8" s="10"/>
      <c r="J8" s="10"/>
      <c r="K8" s="10"/>
      <c r="L8" s="10"/>
      <c r="M8" s="10"/>
      <c r="N8" s="10"/>
      <c r="O8" s="10"/>
    </row>
    <row r="9" spans="1:8" ht="18" customHeight="1">
      <c r="A9" s="19" t="s">
        <v>96</v>
      </c>
      <c r="B9" s="209">
        <v>20</v>
      </c>
      <c r="C9" s="20">
        <v>17</v>
      </c>
      <c r="D9" s="20">
        <v>9</v>
      </c>
      <c r="E9" s="20">
        <f>SUM(B9:D9)</f>
        <v>46</v>
      </c>
      <c r="F9" s="21">
        <f aca="true" t="shared" si="0" ref="F9:F16">SUM(E9*2*24423)</f>
        <v>2246916</v>
      </c>
      <c r="G9" s="21">
        <f>SUM(E9*2*3365)</f>
        <v>309580</v>
      </c>
      <c r="H9" s="22">
        <f aca="true" t="shared" si="1" ref="H9:H14">SUM(E9*2*2970)</f>
        <v>273240</v>
      </c>
    </row>
    <row r="10" spans="1:8" ht="18" customHeight="1">
      <c r="A10" s="19" t="s">
        <v>65</v>
      </c>
      <c r="B10" s="209">
        <v>40</v>
      </c>
      <c r="C10" s="20">
        <v>40</v>
      </c>
      <c r="D10" s="20">
        <v>31</v>
      </c>
      <c r="E10" s="20">
        <f aca="true" t="shared" si="2" ref="E10:E17">SUM(B10:D10)</f>
        <v>111</v>
      </c>
      <c r="F10" s="21">
        <f t="shared" si="0"/>
        <v>5421906</v>
      </c>
      <c r="G10" s="21">
        <f>SUM(E10*2*3365)</f>
        <v>747030</v>
      </c>
      <c r="H10" s="22">
        <f t="shared" si="1"/>
        <v>659340</v>
      </c>
    </row>
    <row r="11" spans="1:8" ht="18" customHeight="1">
      <c r="A11" s="19" t="s">
        <v>66</v>
      </c>
      <c r="B11" s="209">
        <v>39</v>
      </c>
      <c r="C11" s="20">
        <v>27</v>
      </c>
      <c r="D11" s="20">
        <v>19</v>
      </c>
      <c r="E11" s="20">
        <f t="shared" si="2"/>
        <v>85</v>
      </c>
      <c r="F11" s="21">
        <f t="shared" si="0"/>
        <v>4151910</v>
      </c>
      <c r="G11" s="21">
        <f>SUM(E11*2*3365)</f>
        <v>572050</v>
      </c>
      <c r="H11" s="22">
        <f t="shared" si="1"/>
        <v>504900</v>
      </c>
    </row>
    <row r="12" spans="1:8" ht="18" customHeight="1">
      <c r="A12" s="19" t="s">
        <v>67</v>
      </c>
      <c r="B12" s="209">
        <v>20</v>
      </c>
      <c r="C12" s="20">
        <v>12</v>
      </c>
      <c r="D12" s="20">
        <v>16</v>
      </c>
      <c r="E12" s="20">
        <f t="shared" si="2"/>
        <v>48</v>
      </c>
      <c r="F12" s="21">
        <f t="shared" si="0"/>
        <v>2344608</v>
      </c>
      <c r="G12" s="21">
        <f>SUM(E12*2*3365)</f>
        <v>323040</v>
      </c>
      <c r="H12" s="22">
        <f t="shared" si="1"/>
        <v>285120</v>
      </c>
    </row>
    <row r="13" spans="1:8" ht="18" customHeight="1">
      <c r="A13" s="19" t="s">
        <v>68</v>
      </c>
      <c r="B13" s="209">
        <v>28</v>
      </c>
      <c r="C13" s="20">
        <v>27</v>
      </c>
      <c r="D13" s="20">
        <v>8</v>
      </c>
      <c r="E13" s="20">
        <f t="shared" si="2"/>
        <v>63</v>
      </c>
      <c r="F13" s="21">
        <f t="shared" si="0"/>
        <v>3077298</v>
      </c>
      <c r="G13" s="21">
        <f>SUM(E13*2*3300)</f>
        <v>415800</v>
      </c>
      <c r="H13" s="22">
        <f t="shared" si="1"/>
        <v>374220</v>
      </c>
    </row>
    <row r="14" spans="1:10" ht="18" customHeight="1">
      <c r="A14" s="19" t="s">
        <v>69</v>
      </c>
      <c r="B14" s="209">
        <v>98</v>
      </c>
      <c r="C14" s="20">
        <v>85</v>
      </c>
      <c r="D14" s="20">
        <v>83</v>
      </c>
      <c r="E14" s="20">
        <f t="shared" si="2"/>
        <v>266</v>
      </c>
      <c r="F14" s="21">
        <f t="shared" si="0"/>
        <v>12993036</v>
      </c>
      <c r="G14" s="21">
        <f>SUM(E14*2*3365)</f>
        <v>1790180</v>
      </c>
      <c r="H14" s="22">
        <f t="shared" si="1"/>
        <v>1580040</v>
      </c>
      <c r="J14" s="23"/>
    </row>
    <row r="15" spans="1:10" ht="18" customHeight="1">
      <c r="A15" s="19" t="s">
        <v>97</v>
      </c>
      <c r="B15" s="209">
        <v>50</v>
      </c>
      <c r="C15" s="20">
        <v>53</v>
      </c>
      <c r="D15" s="20">
        <v>25</v>
      </c>
      <c r="E15" s="20">
        <f t="shared" si="2"/>
        <v>128</v>
      </c>
      <c r="F15" s="21">
        <f t="shared" si="0"/>
        <v>6252288</v>
      </c>
      <c r="G15" s="21">
        <f>SUM(E15*2*3250)</f>
        <v>832000</v>
      </c>
      <c r="H15" s="22">
        <f>SUM(E15*2*1320)</f>
        <v>337920</v>
      </c>
      <c r="J15" s="23"/>
    </row>
    <row r="16" spans="1:10" ht="18" customHeight="1">
      <c r="A16" s="19" t="s">
        <v>98</v>
      </c>
      <c r="B16" s="210">
        <v>15</v>
      </c>
      <c r="C16" s="203">
        <v>17</v>
      </c>
      <c r="D16" s="203">
        <v>21</v>
      </c>
      <c r="E16" s="20">
        <f t="shared" si="2"/>
        <v>53</v>
      </c>
      <c r="F16" s="21">
        <f t="shared" si="0"/>
        <v>2588838</v>
      </c>
      <c r="G16" s="24">
        <f>SUM(B16*2*4620)+SUM(C16*2*4900)+SUM(D16*2*4900)</f>
        <v>511000</v>
      </c>
      <c r="H16" s="22">
        <f>SUM(E16*2*0)</f>
        <v>0</v>
      </c>
      <c r="J16" s="211"/>
    </row>
    <row r="17" spans="1:10" ht="18" customHeight="1">
      <c r="A17" s="19" t="s">
        <v>309</v>
      </c>
      <c r="B17" s="210">
        <v>20</v>
      </c>
      <c r="C17" s="203"/>
      <c r="D17" s="203"/>
      <c r="E17" s="20">
        <f t="shared" si="2"/>
        <v>20</v>
      </c>
      <c r="F17" s="21">
        <v>0</v>
      </c>
      <c r="G17" s="24">
        <f>20*57764</f>
        <v>1155280</v>
      </c>
      <c r="H17" s="22">
        <v>0</v>
      </c>
      <c r="J17" s="211"/>
    </row>
    <row r="18" spans="1:10" ht="18" customHeight="1">
      <c r="A18" s="19" t="s">
        <v>94</v>
      </c>
      <c r="B18" s="209">
        <f>SUM(B9:B17)</f>
        <v>330</v>
      </c>
      <c r="C18" s="20">
        <f>SUM(C9:C16)</f>
        <v>278</v>
      </c>
      <c r="D18" s="20">
        <f>SUM(D9:D16)</f>
        <v>212</v>
      </c>
      <c r="E18" s="20">
        <f>SUM(E9:E17)</f>
        <v>820</v>
      </c>
      <c r="F18" s="20">
        <f>SUM(F9:F17)</f>
        <v>39076800</v>
      </c>
      <c r="G18" s="20">
        <f>SUM(G9:G17)</f>
        <v>6655960</v>
      </c>
      <c r="H18" s="22">
        <f>SUM(H9:H17)</f>
        <v>4014780</v>
      </c>
      <c r="I18" s="212"/>
      <c r="J18" s="211"/>
    </row>
    <row r="19" spans="1:8" ht="18" customHeight="1">
      <c r="A19" s="25" t="s">
        <v>99</v>
      </c>
      <c r="B19" s="213"/>
      <c r="C19" s="213"/>
      <c r="D19" s="213"/>
      <c r="E19" s="214"/>
      <c r="F19" s="21"/>
      <c r="G19" s="21"/>
      <c r="H19" s="22">
        <f>SUM(F18:H18)</f>
        <v>49747540</v>
      </c>
    </row>
    <row r="20" spans="1:8" ht="18" customHeight="1">
      <c r="A20" s="133" t="s">
        <v>100</v>
      </c>
      <c r="B20" s="330"/>
      <c r="C20" s="330"/>
      <c r="D20" s="330"/>
      <c r="E20" s="330"/>
      <c r="F20" s="330"/>
      <c r="G20" s="330"/>
      <c r="H20" s="331"/>
    </row>
    <row r="21" spans="1:8" ht="18" customHeight="1">
      <c r="A21" s="332" t="s">
        <v>331</v>
      </c>
      <c r="B21" s="333"/>
      <c r="C21" s="333"/>
      <c r="D21" s="333"/>
      <c r="E21" s="333"/>
      <c r="F21" s="333"/>
      <c r="G21" s="333"/>
      <c r="H21" s="334"/>
    </row>
    <row r="22" spans="1:8" ht="18" customHeight="1">
      <c r="A22" s="332" t="s">
        <v>256</v>
      </c>
      <c r="B22" s="333"/>
      <c r="C22" s="333"/>
      <c r="D22" s="333"/>
      <c r="E22" s="333"/>
      <c r="F22" s="333"/>
      <c r="G22" s="333"/>
      <c r="H22" s="334"/>
    </row>
    <row r="23" spans="1:8" ht="27.75" customHeight="1">
      <c r="A23" s="335" t="s">
        <v>332</v>
      </c>
      <c r="B23" s="336"/>
      <c r="C23" s="336"/>
      <c r="D23" s="336"/>
      <c r="E23" s="336"/>
      <c r="F23" s="336"/>
      <c r="G23" s="336"/>
      <c r="H23" s="337"/>
    </row>
    <row r="24" spans="1:8" ht="24" customHeight="1" thickBot="1">
      <c r="A24" s="338" t="s">
        <v>257</v>
      </c>
      <c r="B24" s="339"/>
      <c r="C24" s="339"/>
      <c r="D24" s="339"/>
      <c r="E24" s="339"/>
      <c r="F24" s="339"/>
      <c r="G24" s="339"/>
      <c r="H24" s="340"/>
    </row>
    <row r="25" spans="1:8" ht="7.5" customHeight="1" thickTop="1">
      <c r="A25" s="26"/>
      <c r="B25" s="26"/>
      <c r="C25" s="26"/>
      <c r="D25" s="26"/>
      <c r="E25" s="26"/>
      <c r="F25" s="26"/>
      <c r="G25" s="26"/>
      <c r="H25" s="26"/>
    </row>
    <row r="26" ht="27.75" customHeight="1"/>
    <row r="27" ht="21" customHeight="1"/>
    <row r="28" ht="21" customHeight="1"/>
    <row r="29" spans="2:8" ht="21" customHeight="1">
      <c r="B29" s="18"/>
      <c r="C29" s="18"/>
      <c r="D29" s="18"/>
      <c r="E29" s="18"/>
      <c r="F29" s="18"/>
      <c r="G29" s="18"/>
      <c r="H29" s="18"/>
    </row>
    <row r="30" ht="21" customHeight="1"/>
    <row r="31" ht="21" customHeight="1">
      <c r="J31" s="212"/>
    </row>
    <row r="32" ht="21" customHeight="1"/>
    <row r="33" ht="11.25" customHeight="1"/>
    <row r="34" ht="18.75" customHeight="1"/>
    <row r="35" ht="18.75" customHeight="1"/>
    <row r="36" ht="18.75" customHeight="1"/>
    <row r="37" ht="18.75" customHeight="1"/>
    <row r="38" ht="19.5" customHeight="1"/>
    <row r="39" ht="19.5" customHeight="1"/>
    <row r="40" ht="19.5" customHeight="1"/>
    <row r="41" spans="2:15" s="18" customFormat="1" ht="19.5" customHeight="1">
      <c r="B41" s="23"/>
      <c r="C41" s="23"/>
      <c r="D41" s="23"/>
      <c r="E41" s="23"/>
      <c r="F41" s="10"/>
      <c r="G41" s="10"/>
      <c r="H41" s="10"/>
      <c r="I41" s="10"/>
      <c r="J41" s="10"/>
      <c r="K41" s="10"/>
      <c r="L41" s="10"/>
      <c r="M41" s="10"/>
      <c r="N41" s="10"/>
      <c r="O41" s="10"/>
    </row>
    <row r="42" ht="19.5" customHeight="1"/>
    <row r="43" ht="19.5" customHeight="1"/>
    <row r="44" ht="19.5" customHeight="1"/>
  </sheetData>
  <sheetProtection password="CF4C" sheet="1"/>
  <mergeCells count="19">
    <mergeCell ref="A7:A8"/>
    <mergeCell ref="B7:E7"/>
    <mergeCell ref="F7:H7"/>
    <mergeCell ref="A1:H1"/>
    <mergeCell ref="A2:A3"/>
    <mergeCell ref="B2:G2"/>
    <mergeCell ref="H2:H3"/>
    <mergeCell ref="C3:D3"/>
    <mergeCell ref="E3:F3"/>
    <mergeCell ref="B20:H20"/>
    <mergeCell ref="A21:H21"/>
    <mergeCell ref="A22:H22"/>
    <mergeCell ref="A23:H23"/>
    <mergeCell ref="A24:H24"/>
    <mergeCell ref="C4:D4"/>
    <mergeCell ref="E4:F4"/>
    <mergeCell ref="C5:D5"/>
    <mergeCell ref="E5:F5"/>
    <mergeCell ref="A6:H6"/>
  </mergeCells>
  <printOptions horizontalCentered="1"/>
  <pageMargins left="0.2362204724409449" right="0.2362204724409449" top="0.7480314960629921" bottom="0.7480314960629921" header="0.31496062992125984" footer="0.31496062992125984"/>
  <pageSetup firstPageNumber="19" useFirstPageNumber="1" horizontalDpi="600" verticalDpi="600" orientation="portrait" paperSize="9" r:id="rId1"/>
  <headerFooter alignWithMargins="0">
    <oddFooter>&amp;C～　16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93"/>
  <sheetViews>
    <sheetView tabSelected="1" zoomScalePageLayoutView="0" workbookViewId="0" topLeftCell="A1">
      <selection activeCell="D86" sqref="D86"/>
    </sheetView>
  </sheetViews>
  <sheetFormatPr defaultColWidth="8.75390625" defaultRowHeight="15.75"/>
  <cols>
    <col min="1" max="1" width="14.25390625" style="183" customWidth="1"/>
    <col min="2" max="2" width="1.625" style="27" customWidth="1"/>
    <col min="3" max="3" width="1.12109375" style="27" customWidth="1"/>
    <col min="4" max="4" width="18.75390625" style="27" customWidth="1"/>
    <col min="5" max="5" width="13.75390625" style="27" customWidth="1"/>
    <col min="6" max="6" width="13.375" style="27" customWidth="1"/>
    <col min="7" max="7" width="13.125" style="125" customWidth="1"/>
    <col min="8" max="8" width="10.125" style="125" customWidth="1"/>
    <col min="9" max="9" width="19.375" style="184" customWidth="1"/>
    <col min="10" max="10" width="8.75390625" style="27" customWidth="1"/>
    <col min="11" max="11" width="19.50390625" style="27" customWidth="1"/>
    <col min="12" max="12" width="18.875" style="27" customWidth="1"/>
    <col min="13" max="16384" width="8.75390625" style="27" customWidth="1"/>
  </cols>
  <sheetData>
    <row r="1" spans="1:9" ht="23.25" customHeight="1">
      <c r="A1" s="252" t="s">
        <v>238</v>
      </c>
      <c r="B1" s="252"/>
      <c r="C1" s="252"/>
      <c r="D1" s="252"/>
      <c r="E1" s="252"/>
      <c r="F1" s="252"/>
      <c r="G1" s="252"/>
      <c r="H1" s="252"/>
      <c r="I1" s="252"/>
    </row>
    <row r="2" spans="1:9" ht="23.25" customHeight="1">
      <c r="A2" s="252" t="s">
        <v>41</v>
      </c>
      <c r="B2" s="252"/>
      <c r="C2" s="252"/>
      <c r="D2" s="252"/>
      <c r="E2" s="252"/>
      <c r="F2" s="252"/>
      <c r="G2" s="252"/>
      <c r="H2" s="252"/>
      <c r="I2" s="252"/>
    </row>
    <row r="3" spans="1:9" ht="23.25" customHeight="1" thickBot="1">
      <c r="A3" s="358" t="s">
        <v>245</v>
      </c>
      <c r="B3" s="358"/>
      <c r="C3" s="358"/>
      <c r="D3" s="358"/>
      <c r="E3" s="358"/>
      <c r="F3" s="358"/>
      <c r="G3" s="358"/>
      <c r="H3" s="358"/>
      <c r="I3" s="358"/>
    </row>
    <row r="4" spans="1:9" ht="20.25" customHeight="1">
      <c r="A4" s="353" t="s">
        <v>42</v>
      </c>
      <c r="B4" s="361" t="s">
        <v>43</v>
      </c>
      <c r="C4" s="362"/>
      <c r="D4" s="363"/>
      <c r="E4" s="355" t="s">
        <v>44</v>
      </c>
      <c r="F4" s="355" t="s">
        <v>45</v>
      </c>
      <c r="G4" s="370" t="s">
        <v>46</v>
      </c>
      <c r="H4" s="371"/>
      <c r="I4" s="359" t="s">
        <v>47</v>
      </c>
    </row>
    <row r="5" spans="1:9" ht="20.25" customHeight="1">
      <c r="A5" s="354"/>
      <c r="B5" s="364"/>
      <c r="C5" s="365"/>
      <c r="D5" s="366"/>
      <c r="E5" s="356"/>
      <c r="F5" s="356"/>
      <c r="G5" s="372"/>
      <c r="H5" s="372"/>
      <c r="I5" s="360"/>
    </row>
    <row r="6" spans="1:9" ht="20.25" customHeight="1">
      <c r="A6" s="354"/>
      <c r="B6" s="367"/>
      <c r="C6" s="368"/>
      <c r="D6" s="369"/>
      <c r="E6" s="356"/>
      <c r="F6" s="356"/>
      <c r="G6" s="122" t="s">
        <v>48</v>
      </c>
      <c r="H6" s="127" t="s">
        <v>49</v>
      </c>
      <c r="I6" s="162"/>
    </row>
    <row r="7" spans="1:9" ht="23.25" customHeight="1">
      <c r="A7" s="174">
        <f>A8+A11+A12+A13+A14+A15</f>
        <v>1657661</v>
      </c>
      <c r="B7" s="357" t="s">
        <v>50</v>
      </c>
      <c r="C7" s="357"/>
      <c r="D7" s="357"/>
      <c r="E7" s="115">
        <f>E8+E11+E12+E13+E14+E15</f>
        <v>742200</v>
      </c>
      <c r="F7" s="115">
        <f>F8+F11+F12+F13+F14+F15</f>
        <v>1656229</v>
      </c>
      <c r="G7" s="123">
        <f aca="true" t="shared" si="0" ref="G7:G13">E7-F7</f>
        <v>-914029</v>
      </c>
      <c r="H7" s="171">
        <f>G7/F7*100</f>
        <v>-55.187356337801106</v>
      </c>
      <c r="I7" s="128"/>
    </row>
    <row r="8" spans="1:9" ht="23.25" customHeight="1">
      <c r="A8" s="174">
        <f>A9+A10</f>
        <v>1114325</v>
      </c>
      <c r="B8" s="221"/>
      <c r="C8" s="222" t="s">
        <v>170</v>
      </c>
      <c r="D8" s="223"/>
      <c r="E8" s="115">
        <f>SUM(E9:E10)</f>
        <v>0</v>
      </c>
      <c r="F8" s="117">
        <f>SUM(F9:F10)</f>
        <v>1114325</v>
      </c>
      <c r="G8" s="123">
        <f t="shared" si="0"/>
        <v>-1114325</v>
      </c>
      <c r="H8" s="171">
        <f>G8/F8*100</f>
        <v>-100</v>
      </c>
      <c r="I8" s="327" t="s">
        <v>258</v>
      </c>
    </row>
    <row r="9" spans="1:9" ht="23.25" customHeight="1">
      <c r="A9" s="175">
        <v>1094700</v>
      </c>
      <c r="B9" s="221"/>
      <c r="C9" s="222"/>
      <c r="D9" s="223" t="s">
        <v>168</v>
      </c>
      <c r="E9" s="115">
        <v>0</v>
      </c>
      <c r="F9" s="187">
        <v>1094700</v>
      </c>
      <c r="G9" s="216">
        <f t="shared" si="0"/>
        <v>-1094700</v>
      </c>
      <c r="H9" s="171">
        <f>G9/F9*100</f>
        <v>-100</v>
      </c>
      <c r="I9" s="328"/>
    </row>
    <row r="10" spans="1:9" ht="23.25" customHeight="1">
      <c r="A10" s="178">
        <v>19625</v>
      </c>
      <c r="B10" s="221"/>
      <c r="C10" s="222"/>
      <c r="D10" s="223" t="s">
        <v>169</v>
      </c>
      <c r="E10" s="115">
        <v>0</v>
      </c>
      <c r="F10" s="187">
        <v>19625</v>
      </c>
      <c r="G10" s="123">
        <f t="shared" si="0"/>
        <v>-19625</v>
      </c>
      <c r="H10" s="188" t="s">
        <v>79</v>
      </c>
      <c r="I10" s="329"/>
    </row>
    <row r="11" spans="1:9" ht="50.25" customHeight="1">
      <c r="A11" s="174">
        <v>237319</v>
      </c>
      <c r="B11" s="221"/>
      <c r="C11" s="222" t="s">
        <v>171</v>
      </c>
      <c r="D11" s="223"/>
      <c r="E11" s="115">
        <v>310200</v>
      </c>
      <c r="F11" s="117">
        <v>200000</v>
      </c>
      <c r="G11" s="123">
        <f>E11-F11</f>
        <v>110200</v>
      </c>
      <c r="H11" s="171">
        <f>G11/F11*100</f>
        <v>55.1</v>
      </c>
      <c r="I11" s="128" t="s">
        <v>259</v>
      </c>
    </row>
    <row r="12" spans="1:9" ht="35.25" customHeight="1">
      <c r="A12" s="175">
        <v>31017</v>
      </c>
      <c r="B12" s="221"/>
      <c r="C12" s="223" t="s">
        <v>172</v>
      </c>
      <c r="D12" s="237"/>
      <c r="E12" s="115">
        <v>0</v>
      </c>
      <c r="F12" s="30">
        <v>41904</v>
      </c>
      <c r="G12" s="217">
        <f t="shared" si="0"/>
        <v>-41904</v>
      </c>
      <c r="H12" s="171">
        <f>G12/F12*100</f>
        <v>-100</v>
      </c>
      <c r="I12" s="128" t="s">
        <v>258</v>
      </c>
    </row>
    <row r="13" spans="1:9" s="32" customFormat="1" ht="61.5" customHeight="1">
      <c r="A13" s="176">
        <v>275000</v>
      </c>
      <c r="B13" s="236"/>
      <c r="C13" s="223" t="s">
        <v>173</v>
      </c>
      <c r="D13" s="35"/>
      <c r="E13" s="36">
        <v>432000</v>
      </c>
      <c r="F13" s="33">
        <v>300000</v>
      </c>
      <c r="G13" s="123">
        <f t="shared" si="0"/>
        <v>132000</v>
      </c>
      <c r="H13" s="171">
        <f>G13/F13*100</f>
        <v>44</v>
      </c>
      <c r="I13" s="149" t="s">
        <v>263</v>
      </c>
    </row>
    <row r="14" spans="1:9" ht="4.5" customHeight="1" hidden="1">
      <c r="A14" s="176">
        <v>0</v>
      </c>
      <c r="B14" s="108" t="s">
        <v>174</v>
      </c>
      <c r="C14" s="109" t="s">
        <v>175</v>
      </c>
      <c r="D14" s="34"/>
      <c r="E14" s="118">
        <v>0</v>
      </c>
      <c r="F14" s="118">
        <v>0</v>
      </c>
      <c r="G14" s="30">
        <v>0</v>
      </c>
      <c r="H14" s="156">
        <v>0</v>
      </c>
      <c r="I14" s="128"/>
    </row>
    <row r="15" spans="1:9" ht="30" customHeight="1">
      <c r="A15" s="176">
        <v>0</v>
      </c>
      <c r="B15" s="236"/>
      <c r="C15" s="320" t="s">
        <v>176</v>
      </c>
      <c r="D15" s="321"/>
      <c r="E15" s="118">
        <v>0</v>
      </c>
      <c r="F15" s="118">
        <v>0</v>
      </c>
      <c r="G15" s="123">
        <f aca="true" t="shared" si="1" ref="G15:G46">E15-F15</f>
        <v>0</v>
      </c>
      <c r="H15" s="155" t="e">
        <f aca="true" t="shared" si="2" ref="H15:H77">G15/F15*100</f>
        <v>#DIV/0!</v>
      </c>
      <c r="I15" s="128"/>
    </row>
    <row r="16" spans="1:9" ht="30" customHeight="1">
      <c r="A16" s="174">
        <f>A17+A20+A28+A29+A33</f>
        <v>20151650</v>
      </c>
      <c r="B16" s="237" t="s">
        <v>51</v>
      </c>
      <c r="C16" s="237"/>
      <c r="D16" s="237"/>
      <c r="E16" s="115">
        <f>E17+E20+E28+E29+E33</f>
        <v>22573443</v>
      </c>
      <c r="F16" s="30">
        <f>F17+F20+F28+F29+F33</f>
        <v>20756540</v>
      </c>
      <c r="G16" s="30">
        <f t="shared" si="1"/>
        <v>1816903</v>
      </c>
      <c r="H16" s="155">
        <f t="shared" si="2"/>
        <v>8.753400133162849</v>
      </c>
      <c r="I16" s="128"/>
    </row>
    <row r="17" spans="1:9" ht="30" customHeight="1">
      <c r="A17" s="174">
        <f>A18+A19</f>
        <v>13455525</v>
      </c>
      <c r="B17" s="221"/>
      <c r="C17" s="222" t="s">
        <v>177</v>
      </c>
      <c r="D17" s="223"/>
      <c r="E17" s="36">
        <f>E18+E19</f>
        <v>13544806</v>
      </c>
      <c r="F17" s="33">
        <f>F18+F19</f>
        <v>13455525</v>
      </c>
      <c r="G17" s="30">
        <f t="shared" si="1"/>
        <v>89281</v>
      </c>
      <c r="H17" s="155">
        <f t="shared" si="2"/>
        <v>0.6635266925668081</v>
      </c>
      <c r="I17" s="128"/>
    </row>
    <row r="18" spans="1:9" ht="30" customHeight="1">
      <c r="A18" s="175">
        <v>12758499</v>
      </c>
      <c r="B18" s="221" t="s">
        <v>178</v>
      </c>
      <c r="C18" s="222"/>
      <c r="D18" s="223" t="s">
        <v>179</v>
      </c>
      <c r="E18" s="115">
        <f>12062760+1055230</f>
        <v>13117990</v>
      </c>
      <c r="F18" s="30">
        <f>13455525-F19</f>
        <v>13025525</v>
      </c>
      <c r="G18" s="30">
        <f t="shared" si="1"/>
        <v>92465</v>
      </c>
      <c r="H18" s="155">
        <f t="shared" si="2"/>
        <v>0.7098754176894981</v>
      </c>
      <c r="I18" s="215"/>
    </row>
    <row r="19" spans="1:9" ht="30" customHeight="1">
      <c r="A19" s="175">
        <v>697026</v>
      </c>
      <c r="B19" s="221" t="s">
        <v>178</v>
      </c>
      <c r="C19" s="222"/>
      <c r="D19" s="223" t="s">
        <v>180</v>
      </c>
      <c r="E19" s="115">
        <v>426816</v>
      </c>
      <c r="F19" s="187">
        <v>430000</v>
      </c>
      <c r="G19" s="30">
        <f t="shared" si="1"/>
        <v>-3184</v>
      </c>
      <c r="H19" s="155">
        <f t="shared" si="2"/>
        <v>-0.7404651162790697</v>
      </c>
      <c r="I19" s="215"/>
    </row>
    <row r="20" spans="1:9" ht="30" customHeight="1">
      <c r="A20" s="174">
        <f>SUM(A21:A27)</f>
        <v>3851274</v>
      </c>
      <c r="B20" s="221" t="s">
        <v>181</v>
      </c>
      <c r="C20" s="222" t="s">
        <v>171</v>
      </c>
      <c r="D20" s="223"/>
      <c r="E20" s="115">
        <f>SUM(E21:E27)</f>
        <v>4433060</v>
      </c>
      <c r="F20" s="30">
        <f>SUM(F21:F27)</f>
        <v>3632784</v>
      </c>
      <c r="G20" s="30">
        <f t="shared" si="1"/>
        <v>800276</v>
      </c>
      <c r="H20" s="155">
        <f t="shared" si="2"/>
        <v>22.029275618919264</v>
      </c>
      <c r="I20" s="128"/>
    </row>
    <row r="21" spans="1:9" ht="135" customHeight="1">
      <c r="A21" s="175">
        <v>3429193</v>
      </c>
      <c r="B21" s="221"/>
      <c r="C21" s="222"/>
      <c r="D21" s="223" t="s">
        <v>182</v>
      </c>
      <c r="E21" s="115">
        <v>4086680</v>
      </c>
      <c r="F21" s="30">
        <v>3429193</v>
      </c>
      <c r="G21" s="30">
        <f t="shared" si="1"/>
        <v>657487</v>
      </c>
      <c r="H21" s="155">
        <f t="shared" si="2"/>
        <v>19.173228220167253</v>
      </c>
      <c r="I21" s="149" t="s">
        <v>269</v>
      </c>
    </row>
    <row r="22" spans="1:9" ht="72.75" customHeight="1">
      <c r="A22" s="175">
        <v>29866</v>
      </c>
      <c r="B22" s="236"/>
      <c r="C22" s="234"/>
      <c r="D22" s="235" t="s">
        <v>183</v>
      </c>
      <c r="E22" s="36">
        <v>204500</v>
      </c>
      <c r="F22" s="36">
        <v>62320</v>
      </c>
      <c r="G22" s="30">
        <f t="shared" si="1"/>
        <v>142180</v>
      </c>
      <c r="H22" s="171">
        <f t="shared" si="2"/>
        <v>228.14505776636716</v>
      </c>
      <c r="I22" s="128" t="s">
        <v>329</v>
      </c>
    </row>
    <row r="23" spans="1:9" s="37" customFormat="1" ht="26.25" customHeight="1">
      <c r="A23" s="175">
        <v>19600</v>
      </c>
      <c r="B23" s="221"/>
      <c r="C23" s="222"/>
      <c r="D23" s="223" t="s">
        <v>184</v>
      </c>
      <c r="E23" s="115">
        <v>20000</v>
      </c>
      <c r="F23" s="116">
        <v>20000</v>
      </c>
      <c r="G23" s="30">
        <f t="shared" si="1"/>
        <v>0</v>
      </c>
      <c r="H23" s="171">
        <f t="shared" si="2"/>
        <v>0</v>
      </c>
      <c r="I23" s="128"/>
    </row>
    <row r="24" spans="1:9" ht="26.25" customHeight="1">
      <c r="A24" s="175">
        <v>21900</v>
      </c>
      <c r="B24" s="221"/>
      <c r="C24" s="222"/>
      <c r="D24" s="223" t="s">
        <v>185</v>
      </c>
      <c r="E24" s="115">
        <v>30000</v>
      </c>
      <c r="F24" s="116">
        <v>30000</v>
      </c>
      <c r="G24" s="118">
        <f t="shared" si="1"/>
        <v>0</v>
      </c>
      <c r="H24" s="171">
        <f t="shared" si="2"/>
        <v>0</v>
      </c>
      <c r="I24" s="128"/>
    </row>
    <row r="25" spans="1:9" ht="26.25" customHeight="1">
      <c r="A25" s="175">
        <v>35065</v>
      </c>
      <c r="B25" s="221"/>
      <c r="C25" s="222"/>
      <c r="D25" s="223" t="s">
        <v>180</v>
      </c>
      <c r="E25" s="115">
        <v>34800</v>
      </c>
      <c r="F25" s="116">
        <v>34800</v>
      </c>
      <c r="G25" s="123">
        <f t="shared" si="1"/>
        <v>0</v>
      </c>
      <c r="H25" s="171">
        <f t="shared" si="2"/>
        <v>0</v>
      </c>
      <c r="I25" s="128"/>
    </row>
    <row r="26" spans="1:9" ht="26.25" customHeight="1">
      <c r="A26" s="175">
        <v>48700</v>
      </c>
      <c r="B26" s="221"/>
      <c r="C26" s="222"/>
      <c r="D26" s="223" t="s">
        <v>228</v>
      </c>
      <c r="E26" s="115">
        <v>40080</v>
      </c>
      <c r="F26" s="116">
        <v>40080</v>
      </c>
      <c r="G26" s="123">
        <f t="shared" si="1"/>
        <v>0</v>
      </c>
      <c r="H26" s="171">
        <f t="shared" si="2"/>
        <v>0</v>
      </c>
      <c r="I26" s="128"/>
    </row>
    <row r="27" spans="1:9" ht="26.25" customHeight="1">
      <c r="A27" s="177">
        <v>266950</v>
      </c>
      <c r="B27" s="236"/>
      <c r="C27" s="222"/>
      <c r="D27" s="235" t="s">
        <v>239</v>
      </c>
      <c r="E27" s="36">
        <v>17000</v>
      </c>
      <c r="F27" s="33">
        <v>16391</v>
      </c>
      <c r="G27" s="123">
        <f t="shared" si="1"/>
        <v>609</v>
      </c>
      <c r="H27" s="171">
        <f t="shared" si="2"/>
        <v>3.715453602586785</v>
      </c>
      <c r="I27" s="128"/>
    </row>
    <row r="28" spans="1:9" ht="70.5" customHeight="1">
      <c r="A28" s="175">
        <v>903628</v>
      </c>
      <c r="B28" s="236"/>
      <c r="C28" s="320" t="s">
        <v>175</v>
      </c>
      <c r="D28" s="321"/>
      <c r="E28" s="36">
        <v>1434000</v>
      </c>
      <c r="F28" s="33">
        <v>600000</v>
      </c>
      <c r="G28" s="30">
        <f t="shared" si="1"/>
        <v>834000</v>
      </c>
      <c r="H28" s="171">
        <f t="shared" si="2"/>
        <v>139</v>
      </c>
      <c r="I28" s="128" t="s">
        <v>270</v>
      </c>
    </row>
    <row r="29" spans="1:9" ht="24" customHeight="1">
      <c r="A29" s="175">
        <f>A30+A31+A32</f>
        <v>662419</v>
      </c>
      <c r="B29" s="221"/>
      <c r="C29" s="223" t="s">
        <v>191</v>
      </c>
      <c r="D29" s="237"/>
      <c r="E29" s="115">
        <f>SUM(E30:E32)</f>
        <v>534132</v>
      </c>
      <c r="F29" s="116">
        <f>SUM(F30:F32)</f>
        <v>662419</v>
      </c>
      <c r="G29" s="123">
        <f t="shared" si="1"/>
        <v>-128287</v>
      </c>
      <c r="H29" s="155">
        <f t="shared" si="2"/>
        <v>-19.36644329344418</v>
      </c>
      <c r="I29" s="128"/>
    </row>
    <row r="30" spans="1:9" ht="33.75" customHeight="1">
      <c r="A30" s="174">
        <v>448827</v>
      </c>
      <c r="B30" s="110" t="s">
        <v>187</v>
      </c>
      <c r="C30" s="222"/>
      <c r="D30" s="235" t="s">
        <v>188</v>
      </c>
      <c r="E30" s="117">
        <v>294132</v>
      </c>
      <c r="F30" s="119">
        <f>662419-F31</f>
        <v>422419</v>
      </c>
      <c r="G30" s="123">
        <f t="shared" si="1"/>
        <v>-128287</v>
      </c>
      <c r="H30" s="155">
        <f t="shared" si="2"/>
        <v>-30.369609321550406</v>
      </c>
      <c r="I30" s="128" t="s">
        <v>234</v>
      </c>
    </row>
    <row r="31" spans="1:9" ht="31.5">
      <c r="A31" s="175">
        <v>213592</v>
      </c>
      <c r="B31" s="110"/>
      <c r="C31" s="222"/>
      <c r="D31" s="235" t="s">
        <v>189</v>
      </c>
      <c r="E31" s="118">
        <v>240000</v>
      </c>
      <c r="F31" s="120">
        <v>240000</v>
      </c>
      <c r="G31" s="123">
        <f t="shared" si="1"/>
        <v>0</v>
      </c>
      <c r="H31" s="155">
        <f t="shared" si="2"/>
        <v>0</v>
      </c>
      <c r="I31" s="215"/>
    </row>
    <row r="32" spans="1:9" ht="33" customHeight="1" hidden="1">
      <c r="A32" s="175">
        <v>0</v>
      </c>
      <c r="B32" s="110"/>
      <c r="C32" s="222"/>
      <c r="D32" s="235" t="s">
        <v>190</v>
      </c>
      <c r="E32" s="118">
        <v>0</v>
      </c>
      <c r="F32" s="118">
        <v>0</v>
      </c>
      <c r="G32" s="123">
        <f t="shared" si="1"/>
        <v>0</v>
      </c>
      <c r="H32" s="155" t="e">
        <f t="shared" si="2"/>
        <v>#DIV/0!</v>
      </c>
      <c r="I32" s="128" t="s">
        <v>52</v>
      </c>
    </row>
    <row r="33" spans="1:9" ht="27.75" customHeight="1">
      <c r="A33" s="175">
        <v>1278804</v>
      </c>
      <c r="B33" s="236"/>
      <c r="C33" s="320" t="s">
        <v>176</v>
      </c>
      <c r="D33" s="321"/>
      <c r="E33" s="38">
        <v>2627445</v>
      </c>
      <c r="F33" s="33">
        <v>2405812</v>
      </c>
      <c r="G33" s="123">
        <f t="shared" si="1"/>
        <v>221633</v>
      </c>
      <c r="H33" s="155">
        <f t="shared" si="2"/>
        <v>9.212398973818402</v>
      </c>
      <c r="I33" s="128"/>
    </row>
    <row r="34" spans="1:9" ht="22.5" customHeight="1">
      <c r="A34" s="167">
        <f>A35+A44+A65+A66+A67</f>
        <v>63893764</v>
      </c>
      <c r="B34" s="352" t="s">
        <v>78</v>
      </c>
      <c r="C34" s="320"/>
      <c r="D34" s="321"/>
      <c r="E34" s="38">
        <f>E35+E44+E65+E66+E67</f>
        <v>69612989</v>
      </c>
      <c r="F34" s="30">
        <f>F35+F44+F65+F66+F67</f>
        <v>62675810</v>
      </c>
      <c r="G34" s="123">
        <f t="shared" si="1"/>
        <v>6937179</v>
      </c>
      <c r="H34" s="155">
        <f t="shared" si="2"/>
        <v>11.068351569768305</v>
      </c>
      <c r="I34" s="128"/>
    </row>
    <row r="35" spans="1:9" ht="22.5" customHeight="1">
      <c r="A35" s="157">
        <f>A36+A39</f>
        <v>46964943</v>
      </c>
      <c r="B35" s="221"/>
      <c r="C35" s="223" t="s">
        <v>177</v>
      </c>
      <c r="D35" s="237"/>
      <c r="E35" s="38">
        <f>E36+E39</f>
        <v>49674640</v>
      </c>
      <c r="F35" s="30">
        <f>F36+F39</f>
        <v>46964943</v>
      </c>
      <c r="G35" s="123">
        <f t="shared" si="1"/>
        <v>2709697</v>
      </c>
      <c r="H35" s="155">
        <f t="shared" si="2"/>
        <v>5.769616285917775</v>
      </c>
      <c r="I35" s="128"/>
    </row>
    <row r="36" spans="1:9" ht="22.5" customHeight="1">
      <c r="A36" s="174">
        <f>A37+A38</f>
        <v>44624312</v>
      </c>
      <c r="B36" s="221"/>
      <c r="C36" s="222"/>
      <c r="D36" s="222" t="s">
        <v>179</v>
      </c>
      <c r="E36" s="38">
        <f>E37+E38</f>
        <v>46966800</v>
      </c>
      <c r="F36" s="30">
        <f>F37+F38</f>
        <v>44658986</v>
      </c>
      <c r="G36" s="123">
        <f t="shared" si="1"/>
        <v>2307814</v>
      </c>
      <c r="H36" s="155">
        <f t="shared" si="2"/>
        <v>5.167636363261808</v>
      </c>
      <c r="I36" s="128"/>
    </row>
    <row r="37" spans="1:9" ht="22.5" customHeight="1">
      <c r="A37" s="175">
        <v>44624312</v>
      </c>
      <c r="B37" s="221"/>
      <c r="C37" s="222"/>
      <c r="D37" s="223" t="s">
        <v>192</v>
      </c>
      <c r="E37" s="38">
        <f>43518800+3448000</f>
        <v>46966800</v>
      </c>
      <c r="F37" s="33">
        <v>44658986</v>
      </c>
      <c r="G37" s="123">
        <f t="shared" si="1"/>
        <v>2307814</v>
      </c>
      <c r="H37" s="155">
        <f t="shared" si="2"/>
        <v>5.167636363261808</v>
      </c>
      <c r="I37" s="128"/>
    </row>
    <row r="38" spans="1:9" ht="19.5" customHeight="1" hidden="1">
      <c r="A38" s="175">
        <v>0</v>
      </c>
      <c r="B38" s="236"/>
      <c r="C38" s="234"/>
      <c r="D38" s="235" t="s">
        <v>193</v>
      </c>
      <c r="E38" s="118">
        <v>0</v>
      </c>
      <c r="F38" s="118">
        <v>0</v>
      </c>
      <c r="G38" s="118">
        <f t="shared" si="1"/>
        <v>0</v>
      </c>
      <c r="H38" s="155" t="e">
        <f t="shared" si="2"/>
        <v>#DIV/0!</v>
      </c>
      <c r="I38" s="128" t="s">
        <v>53</v>
      </c>
    </row>
    <row r="39" spans="1:9" ht="22.5" customHeight="1">
      <c r="A39" s="176">
        <f>SUM(A40:A43)</f>
        <v>2340631</v>
      </c>
      <c r="B39" s="236"/>
      <c r="C39" s="111"/>
      <c r="D39" s="112" t="s">
        <v>180</v>
      </c>
      <c r="E39" s="38">
        <f>E40+E41+E42+E43</f>
        <v>2707840</v>
      </c>
      <c r="F39" s="33">
        <f>F40+F41+F42+F43</f>
        <v>2305957</v>
      </c>
      <c r="G39" s="123">
        <f t="shared" si="1"/>
        <v>401883</v>
      </c>
      <c r="H39" s="155">
        <f t="shared" si="2"/>
        <v>17.4280353016123</v>
      </c>
      <c r="I39" s="128"/>
    </row>
    <row r="40" spans="1:9" ht="22.5" customHeight="1">
      <c r="A40" s="175">
        <v>2305957</v>
      </c>
      <c r="B40" s="236"/>
      <c r="C40" s="234"/>
      <c r="D40" s="235" t="s">
        <v>194</v>
      </c>
      <c r="E40" s="38">
        <f>2707840-E42</f>
        <v>2571840</v>
      </c>
      <c r="F40" s="120">
        <f>2305957-F42</f>
        <v>2177757</v>
      </c>
      <c r="G40" s="123">
        <f t="shared" si="1"/>
        <v>394083</v>
      </c>
      <c r="H40" s="155">
        <f t="shared" si="2"/>
        <v>18.095820608084374</v>
      </c>
      <c r="I40" s="128" t="s">
        <v>271</v>
      </c>
    </row>
    <row r="41" spans="1:9" ht="19.5" customHeight="1" hidden="1">
      <c r="A41" s="175">
        <v>0</v>
      </c>
      <c r="B41" s="236"/>
      <c r="C41" s="234"/>
      <c r="D41" s="235" t="s">
        <v>195</v>
      </c>
      <c r="E41" s="118">
        <v>0</v>
      </c>
      <c r="F41" s="118">
        <v>0</v>
      </c>
      <c r="G41" s="118">
        <f t="shared" si="1"/>
        <v>0</v>
      </c>
      <c r="H41" s="155" t="e">
        <f t="shared" si="2"/>
        <v>#DIV/0!</v>
      </c>
      <c r="I41" s="128" t="s">
        <v>53</v>
      </c>
    </row>
    <row r="42" spans="1:9" ht="22.5" customHeight="1">
      <c r="A42" s="178">
        <v>34674</v>
      </c>
      <c r="B42" s="236"/>
      <c r="C42" s="234"/>
      <c r="D42" s="235" t="s">
        <v>196</v>
      </c>
      <c r="E42" s="118">
        <v>136000</v>
      </c>
      <c r="F42" s="120">
        <v>128200</v>
      </c>
      <c r="G42" s="126">
        <f t="shared" si="1"/>
        <v>7800</v>
      </c>
      <c r="H42" s="155">
        <f t="shared" si="2"/>
        <v>6.084243369734789</v>
      </c>
      <c r="I42" s="128"/>
    </row>
    <row r="43" spans="1:9" ht="19.5" customHeight="1" hidden="1">
      <c r="A43" s="175">
        <v>0</v>
      </c>
      <c r="B43" s="236"/>
      <c r="C43" s="234"/>
      <c r="D43" s="235" t="s">
        <v>197</v>
      </c>
      <c r="E43" s="118">
        <v>0</v>
      </c>
      <c r="F43" s="118">
        <v>0</v>
      </c>
      <c r="G43" s="118">
        <f t="shared" si="1"/>
        <v>0</v>
      </c>
      <c r="H43" s="155" t="e">
        <f t="shared" si="2"/>
        <v>#DIV/0!</v>
      </c>
      <c r="I43" s="128" t="s">
        <v>53</v>
      </c>
    </row>
    <row r="44" spans="1:9" ht="23.25" customHeight="1">
      <c r="A44" s="176">
        <f>A45+A49+A50+A51+A61+A62+A63+A64</f>
        <v>9026250</v>
      </c>
      <c r="B44" s="113"/>
      <c r="C44" s="320" t="s">
        <v>171</v>
      </c>
      <c r="D44" s="321"/>
      <c r="E44" s="38">
        <f>E45+E49+E50+E51+E61+E62+E63+E64</f>
        <v>15765488</v>
      </c>
      <c r="F44" s="33">
        <f>F45+F49+F50+F51+F61+F62+F63+F64</f>
        <v>12811145</v>
      </c>
      <c r="G44" s="123">
        <f t="shared" si="1"/>
        <v>2954343</v>
      </c>
      <c r="H44" s="155">
        <f t="shared" si="2"/>
        <v>23.060725641619076</v>
      </c>
      <c r="I44" s="128"/>
    </row>
    <row r="45" spans="1:9" ht="23.25" customHeight="1">
      <c r="A45" s="176">
        <f>SUM(A46:A48)</f>
        <v>3982984</v>
      </c>
      <c r="B45" s="236"/>
      <c r="C45" s="234"/>
      <c r="D45" s="235" t="s">
        <v>182</v>
      </c>
      <c r="E45" s="38">
        <f>E46+E48</f>
        <v>6390006</v>
      </c>
      <c r="F45" s="33">
        <f>F46+F47+F48</f>
        <v>5550737</v>
      </c>
      <c r="G45" s="123">
        <f t="shared" si="1"/>
        <v>839269</v>
      </c>
      <c r="H45" s="155">
        <f t="shared" si="2"/>
        <v>15.119956142760863</v>
      </c>
      <c r="I45" s="128"/>
    </row>
    <row r="46" spans="1:9" ht="67.5" customHeight="1">
      <c r="A46" s="175">
        <v>3027183</v>
      </c>
      <c r="B46" s="236"/>
      <c r="C46" s="234"/>
      <c r="D46" s="235" t="s">
        <v>198</v>
      </c>
      <c r="E46" s="38">
        <v>3340306</v>
      </c>
      <c r="F46" s="33">
        <v>3650737</v>
      </c>
      <c r="G46" s="123">
        <f t="shared" si="1"/>
        <v>-310431</v>
      </c>
      <c r="H46" s="155">
        <f t="shared" si="2"/>
        <v>-8.503241948132665</v>
      </c>
      <c r="I46" s="128" t="s">
        <v>272</v>
      </c>
    </row>
    <row r="47" spans="1:9" ht="19.5" customHeight="1" hidden="1">
      <c r="A47" s="175">
        <v>0</v>
      </c>
      <c r="B47" s="236"/>
      <c r="C47" s="234"/>
      <c r="D47" s="235" t="s">
        <v>199</v>
      </c>
      <c r="E47" s="118">
        <v>0</v>
      </c>
      <c r="F47" s="118">
        <v>0</v>
      </c>
      <c r="G47" s="118">
        <v>0</v>
      </c>
      <c r="H47" s="155" t="e">
        <f t="shared" si="2"/>
        <v>#DIV/0!</v>
      </c>
      <c r="I47" s="128" t="s">
        <v>53</v>
      </c>
    </row>
    <row r="48" spans="1:9" ht="56.25" customHeight="1">
      <c r="A48" s="175">
        <v>955801</v>
      </c>
      <c r="B48" s="221"/>
      <c r="C48" s="234"/>
      <c r="D48" s="223" t="s">
        <v>200</v>
      </c>
      <c r="E48" s="38">
        <v>3049700</v>
      </c>
      <c r="F48" s="33">
        <v>1900000</v>
      </c>
      <c r="G48" s="33">
        <f aca="true" t="shared" si="3" ref="G48:G69">E48-F48</f>
        <v>1149700</v>
      </c>
      <c r="H48" s="171">
        <f t="shared" si="2"/>
        <v>60.51052631578947</v>
      </c>
      <c r="I48" s="128" t="s">
        <v>273</v>
      </c>
    </row>
    <row r="49" spans="1:9" ht="54" customHeight="1">
      <c r="A49" s="175">
        <v>2155799</v>
      </c>
      <c r="B49" s="221"/>
      <c r="C49" s="222"/>
      <c r="D49" s="223" t="s">
        <v>201</v>
      </c>
      <c r="E49" s="38">
        <v>4700000</v>
      </c>
      <c r="F49" s="33">
        <v>3200000</v>
      </c>
      <c r="G49" s="33">
        <f t="shared" si="3"/>
        <v>1500000</v>
      </c>
      <c r="H49" s="171">
        <f t="shared" si="2"/>
        <v>46.875</v>
      </c>
      <c r="I49" s="128" t="s">
        <v>330</v>
      </c>
    </row>
    <row r="50" spans="1:9" ht="69.75" customHeight="1">
      <c r="A50" s="175">
        <v>710572</v>
      </c>
      <c r="B50" s="221"/>
      <c r="C50" s="222"/>
      <c r="D50" s="223" t="s">
        <v>202</v>
      </c>
      <c r="E50" s="38">
        <v>912180</v>
      </c>
      <c r="F50" s="33">
        <v>720000</v>
      </c>
      <c r="G50" s="33">
        <f t="shared" si="3"/>
        <v>192180</v>
      </c>
      <c r="H50" s="171">
        <f t="shared" si="2"/>
        <v>26.69166666666667</v>
      </c>
      <c r="I50" s="128" t="s">
        <v>274</v>
      </c>
    </row>
    <row r="51" spans="1:9" ht="24" customHeight="1">
      <c r="A51" s="174">
        <f>SUM(A52:A60)</f>
        <v>931450</v>
      </c>
      <c r="B51" s="221"/>
      <c r="C51" s="222"/>
      <c r="D51" s="223" t="s">
        <v>203</v>
      </c>
      <c r="E51" s="38">
        <f>SUM(E52:E60)</f>
        <v>1915017</v>
      </c>
      <c r="F51" s="33">
        <f>SUM(F52:F60)</f>
        <v>1525178</v>
      </c>
      <c r="G51" s="123">
        <f t="shared" si="3"/>
        <v>389839</v>
      </c>
      <c r="H51" s="155">
        <f t="shared" si="2"/>
        <v>25.560229691222926</v>
      </c>
      <c r="I51" s="128"/>
    </row>
    <row r="52" spans="1:9" ht="24" customHeight="1">
      <c r="A52" s="175">
        <v>9598</v>
      </c>
      <c r="B52" s="221"/>
      <c r="C52" s="222"/>
      <c r="D52" s="223" t="s">
        <v>212</v>
      </c>
      <c r="E52" s="38">
        <v>0</v>
      </c>
      <c r="F52" s="38">
        <v>0</v>
      </c>
      <c r="G52" s="123">
        <f t="shared" si="3"/>
        <v>0</v>
      </c>
      <c r="H52" s="155" t="e">
        <f t="shared" si="2"/>
        <v>#DIV/0!</v>
      </c>
      <c r="I52" s="128" t="s">
        <v>264</v>
      </c>
    </row>
    <row r="53" spans="1:9" ht="35.25" customHeight="1">
      <c r="A53" s="175">
        <v>42327</v>
      </c>
      <c r="B53" s="221"/>
      <c r="C53" s="222"/>
      <c r="D53" s="223" t="s">
        <v>211</v>
      </c>
      <c r="E53" s="38">
        <v>184140</v>
      </c>
      <c r="F53" s="120">
        <v>151194</v>
      </c>
      <c r="G53" s="33">
        <f t="shared" si="3"/>
        <v>32946</v>
      </c>
      <c r="H53" s="171">
        <f t="shared" si="2"/>
        <v>21.790547243938253</v>
      </c>
      <c r="I53" s="215" t="s">
        <v>265</v>
      </c>
    </row>
    <row r="54" spans="1:9" ht="52.5" customHeight="1">
      <c r="A54" s="175">
        <v>45025</v>
      </c>
      <c r="B54" s="236"/>
      <c r="C54" s="234"/>
      <c r="D54" s="235" t="s">
        <v>210</v>
      </c>
      <c r="E54" s="38">
        <v>136620</v>
      </c>
      <c r="F54" s="120">
        <v>100009</v>
      </c>
      <c r="G54" s="33">
        <f t="shared" si="3"/>
        <v>36611</v>
      </c>
      <c r="H54" s="171">
        <f t="shared" si="2"/>
        <v>36.60770530652241</v>
      </c>
      <c r="I54" s="128" t="s">
        <v>235</v>
      </c>
    </row>
    <row r="55" spans="1:9" ht="52.5" customHeight="1">
      <c r="A55" s="175">
        <v>168043</v>
      </c>
      <c r="B55" s="221"/>
      <c r="C55" s="222"/>
      <c r="D55" s="223" t="s">
        <v>209</v>
      </c>
      <c r="E55" s="38">
        <v>380160</v>
      </c>
      <c r="F55" s="120">
        <v>258084</v>
      </c>
      <c r="G55" s="33">
        <f t="shared" si="3"/>
        <v>122076</v>
      </c>
      <c r="H55" s="171">
        <f t="shared" si="2"/>
        <v>47.30087878365183</v>
      </c>
      <c r="I55" s="128" t="s">
        <v>229</v>
      </c>
    </row>
    <row r="56" spans="1:9" ht="23.25" customHeight="1">
      <c r="A56" s="175">
        <v>141942</v>
      </c>
      <c r="B56" s="221"/>
      <c r="C56" s="222"/>
      <c r="D56" s="223" t="s">
        <v>208</v>
      </c>
      <c r="E56" s="38">
        <v>173945</v>
      </c>
      <c r="F56" s="120">
        <v>166315</v>
      </c>
      <c r="G56" s="33">
        <f t="shared" si="3"/>
        <v>7630</v>
      </c>
      <c r="H56" s="171">
        <f t="shared" si="2"/>
        <v>4.587680004810149</v>
      </c>
      <c r="I56" s="327" t="s">
        <v>244</v>
      </c>
    </row>
    <row r="57" spans="1:9" ht="23.25" customHeight="1">
      <c r="A57" s="175">
        <v>11950</v>
      </c>
      <c r="B57" s="236"/>
      <c r="C57" s="234"/>
      <c r="D57" s="235" t="s">
        <v>207</v>
      </c>
      <c r="E57" s="38">
        <v>100752</v>
      </c>
      <c r="F57" s="120">
        <v>62144</v>
      </c>
      <c r="G57" s="33">
        <f t="shared" si="3"/>
        <v>38608</v>
      </c>
      <c r="H57" s="171">
        <f t="shared" si="2"/>
        <v>62.126673532440776</v>
      </c>
      <c r="I57" s="328"/>
    </row>
    <row r="58" spans="1:9" ht="23.25" customHeight="1">
      <c r="A58" s="175">
        <v>246000</v>
      </c>
      <c r="B58" s="221"/>
      <c r="C58" s="222"/>
      <c r="D58" s="223" t="s">
        <v>260</v>
      </c>
      <c r="E58" s="38">
        <v>345400</v>
      </c>
      <c r="F58" s="120">
        <v>345400</v>
      </c>
      <c r="G58" s="33">
        <f t="shared" si="3"/>
        <v>0</v>
      </c>
      <c r="H58" s="171">
        <f t="shared" si="2"/>
        <v>0</v>
      </c>
      <c r="I58" s="328"/>
    </row>
    <row r="59" spans="1:9" ht="23.25" customHeight="1">
      <c r="A59" s="175">
        <v>167854</v>
      </c>
      <c r="B59" s="221"/>
      <c r="C59" s="222"/>
      <c r="D59" s="223" t="s">
        <v>206</v>
      </c>
      <c r="E59" s="38">
        <v>500000</v>
      </c>
      <c r="F59" s="120">
        <v>396156</v>
      </c>
      <c r="G59" s="33">
        <f t="shared" si="3"/>
        <v>103844</v>
      </c>
      <c r="H59" s="171">
        <f t="shared" si="2"/>
        <v>26.212906026918688</v>
      </c>
      <c r="I59" s="328"/>
    </row>
    <row r="60" spans="1:9" ht="23.25" customHeight="1">
      <c r="A60" s="176">
        <v>98711</v>
      </c>
      <c r="B60" s="110"/>
      <c r="C60" s="114"/>
      <c r="D60" s="235" t="s">
        <v>205</v>
      </c>
      <c r="E60" s="38">
        <v>94000</v>
      </c>
      <c r="F60" s="120">
        <v>45876</v>
      </c>
      <c r="G60" s="33">
        <f t="shared" si="3"/>
        <v>48124</v>
      </c>
      <c r="H60" s="171">
        <f t="shared" si="2"/>
        <v>104.90016566396372</v>
      </c>
      <c r="I60" s="329"/>
    </row>
    <row r="61" spans="1:9" ht="23.25" customHeight="1">
      <c r="A61" s="176">
        <v>14235</v>
      </c>
      <c r="B61" s="236"/>
      <c r="C61" s="234"/>
      <c r="D61" s="235" t="s">
        <v>204</v>
      </c>
      <c r="E61" s="38">
        <v>22000</v>
      </c>
      <c r="F61" s="33">
        <v>18230</v>
      </c>
      <c r="G61" s="33">
        <f t="shared" si="3"/>
        <v>3770</v>
      </c>
      <c r="H61" s="171">
        <f t="shared" si="2"/>
        <v>20.68019747668678</v>
      </c>
      <c r="I61" s="128" t="s">
        <v>236</v>
      </c>
    </row>
    <row r="62" spans="1:9" ht="23.25" customHeight="1">
      <c r="A62" s="174">
        <v>444421</v>
      </c>
      <c r="B62" s="221"/>
      <c r="C62" s="222"/>
      <c r="D62" s="223" t="s">
        <v>213</v>
      </c>
      <c r="E62" s="38">
        <v>879285</v>
      </c>
      <c r="F62" s="33">
        <v>850000</v>
      </c>
      <c r="G62" s="33">
        <f t="shared" si="3"/>
        <v>29285</v>
      </c>
      <c r="H62" s="171">
        <f t="shared" si="2"/>
        <v>3.445294117647059</v>
      </c>
      <c r="I62" s="128"/>
    </row>
    <row r="63" spans="1:9" ht="23.25" customHeight="1">
      <c r="A63" s="174">
        <v>786289</v>
      </c>
      <c r="B63" s="221"/>
      <c r="C63" s="222"/>
      <c r="D63" s="223" t="s">
        <v>214</v>
      </c>
      <c r="E63" s="38">
        <v>932000</v>
      </c>
      <c r="F63" s="33">
        <v>932000</v>
      </c>
      <c r="G63" s="33">
        <f t="shared" si="3"/>
        <v>0</v>
      </c>
      <c r="H63" s="171">
        <f t="shared" si="2"/>
        <v>0</v>
      </c>
      <c r="I63" s="149"/>
    </row>
    <row r="64" spans="1:9" ht="34.5" customHeight="1">
      <c r="A64" s="174">
        <v>500</v>
      </c>
      <c r="B64" s="221"/>
      <c r="C64" s="222"/>
      <c r="D64" s="223" t="s">
        <v>215</v>
      </c>
      <c r="E64" s="38">
        <v>15000</v>
      </c>
      <c r="F64" s="33">
        <v>15000</v>
      </c>
      <c r="G64" s="118">
        <f t="shared" si="3"/>
        <v>0</v>
      </c>
      <c r="H64" s="171">
        <f t="shared" si="2"/>
        <v>0</v>
      </c>
      <c r="I64" s="128"/>
    </row>
    <row r="65" spans="1:9" ht="34.5" customHeight="1">
      <c r="A65" s="180">
        <v>67520</v>
      </c>
      <c r="B65" s="189"/>
      <c r="C65" s="190" t="s">
        <v>186</v>
      </c>
      <c r="D65" s="191"/>
      <c r="E65" s="118">
        <v>40000</v>
      </c>
      <c r="F65" s="120">
        <v>36900</v>
      </c>
      <c r="G65" s="120">
        <f t="shared" si="3"/>
        <v>3100</v>
      </c>
      <c r="H65" s="192">
        <f t="shared" si="2"/>
        <v>8.401084010840108</v>
      </c>
      <c r="I65" s="151"/>
    </row>
    <row r="66" spans="1:9" ht="34.5" customHeight="1">
      <c r="A66" s="174">
        <v>1875645</v>
      </c>
      <c r="B66" s="221"/>
      <c r="C66" s="223" t="s">
        <v>216</v>
      </c>
      <c r="D66" s="237"/>
      <c r="E66" s="38">
        <v>2190056</v>
      </c>
      <c r="F66" s="33">
        <v>1875645</v>
      </c>
      <c r="G66" s="33">
        <f t="shared" si="3"/>
        <v>314411</v>
      </c>
      <c r="H66" s="171">
        <f t="shared" si="2"/>
        <v>16.762820256498433</v>
      </c>
      <c r="I66" s="128" t="s">
        <v>237</v>
      </c>
    </row>
    <row r="67" spans="1:9" ht="34.5" customHeight="1">
      <c r="A67" s="176">
        <v>5959406</v>
      </c>
      <c r="B67" s="236"/>
      <c r="C67" s="320" t="s">
        <v>217</v>
      </c>
      <c r="D67" s="321"/>
      <c r="E67" s="38">
        <v>1942805</v>
      </c>
      <c r="F67" s="33">
        <v>987177</v>
      </c>
      <c r="G67" s="124">
        <f t="shared" si="3"/>
        <v>955628</v>
      </c>
      <c r="H67" s="171">
        <f t="shared" si="2"/>
        <v>96.8041192207679</v>
      </c>
      <c r="I67" s="128" t="s">
        <v>275</v>
      </c>
    </row>
    <row r="68" spans="1:9" ht="34.5" customHeight="1">
      <c r="A68" s="174">
        <f>A69</f>
        <v>1188000</v>
      </c>
      <c r="B68" s="237" t="s">
        <v>54</v>
      </c>
      <c r="C68" s="237"/>
      <c r="D68" s="237"/>
      <c r="E68" s="38">
        <f>E69</f>
        <v>1732000</v>
      </c>
      <c r="F68" s="33">
        <f>F69</f>
        <v>1313900</v>
      </c>
      <c r="G68" s="33">
        <f t="shared" si="3"/>
        <v>418100</v>
      </c>
      <c r="H68" s="171">
        <f t="shared" si="2"/>
        <v>31.82129538016592</v>
      </c>
      <c r="I68" s="128"/>
    </row>
    <row r="69" spans="1:9" ht="36.75" customHeight="1">
      <c r="A69" s="179">
        <v>1188000</v>
      </c>
      <c r="B69" s="236"/>
      <c r="C69" s="320" t="s">
        <v>218</v>
      </c>
      <c r="D69" s="321"/>
      <c r="E69" s="38">
        <v>1732000</v>
      </c>
      <c r="F69" s="33">
        <v>1313900</v>
      </c>
      <c r="G69" s="33">
        <f t="shared" si="3"/>
        <v>418100</v>
      </c>
      <c r="H69" s="171">
        <f t="shared" si="2"/>
        <v>31.82129538016592</v>
      </c>
      <c r="I69" s="128" t="s">
        <v>60</v>
      </c>
    </row>
    <row r="70" spans="1:9" ht="27.75" customHeight="1">
      <c r="A70" s="176">
        <f>A71+A84</f>
        <v>42072429</v>
      </c>
      <c r="B70" s="352" t="s">
        <v>59</v>
      </c>
      <c r="C70" s="320"/>
      <c r="D70" s="321"/>
      <c r="E70" s="38">
        <f>E71+E84</f>
        <v>52476868</v>
      </c>
      <c r="F70" s="33">
        <f>F71+F84</f>
        <v>48581499</v>
      </c>
      <c r="G70" s="33">
        <f>G71+G84</f>
        <v>3895369</v>
      </c>
      <c r="H70" s="171">
        <f t="shared" si="2"/>
        <v>8.018214917575929</v>
      </c>
      <c r="I70" s="128"/>
    </row>
    <row r="71" spans="1:9" ht="27.75" customHeight="1">
      <c r="A71" s="174">
        <f>A72+A76+A81+A82+A83</f>
        <v>37381973</v>
      </c>
      <c r="B71" s="129"/>
      <c r="C71" s="223" t="s">
        <v>58</v>
      </c>
      <c r="D71" s="129"/>
      <c r="E71" s="38">
        <f>E72+E76+E81+E82+E83</f>
        <v>47476284</v>
      </c>
      <c r="F71" s="33">
        <f>F72+F76+F81+F82+F83</f>
        <v>43924599</v>
      </c>
      <c r="G71" s="33">
        <f>E71-F71</f>
        <v>3551685</v>
      </c>
      <c r="H71" s="171">
        <f t="shared" si="2"/>
        <v>8.085867784473114</v>
      </c>
      <c r="I71" s="128"/>
    </row>
    <row r="72" spans="1:9" ht="27.75" customHeight="1">
      <c r="A72" s="174">
        <f>SUM(A73:A75)</f>
        <v>6254809</v>
      </c>
      <c r="B72" s="221"/>
      <c r="C72" s="222"/>
      <c r="D72" s="223" t="s">
        <v>170</v>
      </c>
      <c r="E72" s="38">
        <f>SUM(E73:E75)</f>
        <v>7640000</v>
      </c>
      <c r="F72" s="33">
        <f>SUM(F73:F75)</f>
        <v>6254809</v>
      </c>
      <c r="G72" s="33">
        <f>E72-F72</f>
        <v>1385191</v>
      </c>
      <c r="H72" s="171">
        <f t="shared" si="2"/>
        <v>22.146015969472447</v>
      </c>
      <c r="I72" s="128"/>
    </row>
    <row r="73" spans="1:9" ht="27.75" customHeight="1">
      <c r="A73" s="174">
        <v>5241765</v>
      </c>
      <c r="B73" s="237" t="s">
        <v>61</v>
      </c>
      <c r="C73" s="221"/>
      <c r="D73" s="223" t="s">
        <v>219</v>
      </c>
      <c r="E73" s="38">
        <v>6200000</v>
      </c>
      <c r="F73" s="33">
        <f>6254809-F74-F75</f>
        <v>5224809</v>
      </c>
      <c r="G73" s="33">
        <f aca="true" t="shared" si="4" ref="G73:G90">E73-F73</f>
        <v>975191</v>
      </c>
      <c r="H73" s="171">
        <f t="shared" si="2"/>
        <v>18.664624869540685</v>
      </c>
      <c r="I73" s="327" t="s">
        <v>276</v>
      </c>
    </row>
    <row r="74" spans="1:9" ht="27.75" customHeight="1">
      <c r="A74" s="174">
        <v>541611</v>
      </c>
      <c r="B74" s="237" t="s">
        <v>62</v>
      </c>
      <c r="C74" s="221"/>
      <c r="D74" s="223" t="s">
        <v>220</v>
      </c>
      <c r="E74" s="38">
        <v>780000</v>
      </c>
      <c r="F74" s="120">
        <v>550000</v>
      </c>
      <c r="G74" s="33">
        <f t="shared" si="4"/>
        <v>230000</v>
      </c>
      <c r="H74" s="171">
        <f t="shared" si="2"/>
        <v>41.81818181818181</v>
      </c>
      <c r="I74" s="328"/>
    </row>
    <row r="75" spans="1:9" ht="27.75" customHeight="1">
      <c r="A75" s="180">
        <v>471433</v>
      </c>
      <c r="B75" s="237" t="s">
        <v>55</v>
      </c>
      <c r="C75" s="221"/>
      <c r="D75" s="223" t="s">
        <v>221</v>
      </c>
      <c r="E75" s="118">
        <v>660000</v>
      </c>
      <c r="F75" s="118">
        <v>480000</v>
      </c>
      <c r="G75" s="33">
        <f t="shared" si="4"/>
        <v>180000</v>
      </c>
      <c r="H75" s="171">
        <f t="shared" si="2"/>
        <v>37.5</v>
      </c>
      <c r="I75" s="329"/>
    </row>
    <row r="76" spans="1:9" ht="27.75" customHeight="1">
      <c r="A76" s="174">
        <f>SUM(A77:A80)</f>
        <v>30249032</v>
      </c>
      <c r="B76" s="221"/>
      <c r="C76" s="222"/>
      <c r="D76" s="223" t="s">
        <v>171</v>
      </c>
      <c r="E76" s="38">
        <f>SUM(E77:E80)</f>
        <v>38392379</v>
      </c>
      <c r="F76" s="33">
        <f>SUM(F77:F80)</f>
        <v>37000000</v>
      </c>
      <c r="G76" s="33">
        <f t="shared" si="4"/>
        <v>1392379</v>
      </c>
      <c r="H76" s="171">
        <f t="shared" si="2"/>
        <v>3.763186486486487</v>
      </c>
      <c r="I76" s="128"/>
    </row>
    <row r="77" spans="1:9" ht="27.75" customHeight="1">
      <c r="A77" s="175">
        <v>2766609</v>
      </c>
      <c r="B77" s="221"/>
      <c r="C77" s="222"/>
      <c r="D77" s="223" t="s">
        <v>222</v>
      </c>
      <c r="E77" s="33">
        <v>3419649</v>
      </c>
      <c r="F77" s="33">
        <v>3400000</v>
      </c>
      <c r="G77" s="33">
        <f t="shared" si="4"/>
        <v>19649</v>
      </c>
      <c r="H77" s="171">
        <f t="shared" si="2"/>
        <v>0.5779117647058823</v>
      </c>
      <c r="I77" s="151"/>
    </row>
    <row r="78" spans="1:9" s="37" customFormat="1" ht="27.75" customHeight="1">
      <c r="A78" s="177">
        <v>2390446</v>
      </c>
      <c r="B78" s="236"/>
      <c r="C78" s="234"/>
      <c r="D78" s="235" t="s">
        <v>223</v>
      </c>
      <c r="E78" s="33">
        <v>4472730</v>
      </c>
      <c r="F78" s="120">
        <v>4300000</v>
      </c>
      <c r="G78" s="33">
        <f t="shared" si="4"/>
        <v>172730</v>
      </c>
      <c r="H78" s="171">
        <f aca="true" t="shared" si="5" ref="H78:H91">G78/F78*100</f>
        <v>4.016976744186047</v>
      </c>
      <c r="I78" s="151"/>
    </row>
    <row r="79" spans="1:9" ht="27.75" customHeight="1">
      <c r="A79" s="175">
        <v>23687300</v>
      </c>
      <c r="B79" s="221"/>
      <c r="C79" s="222"/>
      <c r="D79" s="223" t="s">
        <v>224</v>
      </c>
      <c r="E79" s="33">
        <v>28000000</v>
      </c>
      <c r="F79" s="120">
        <v>27200000</v>
      </c>
      <c r="G79" s="33">
        <f t="shared" si="4"/>
        <v>800000</v>
      </c>
      <c r="H79" s="171">
        <f t="shared" si="5"/>
        <v>2.941176470588235</v>
      </c>
      <c r="I79" s="151"/>
    </row>
    <row r="80" spans="1:9" ht="70.5" customHeight="1">
      <c r="A80" s="175">
        <v>1404677</v>
      </c>
      <c r="B80" s="237" t="s">
        <v>56</v>
      </c>
      <c r="C80" s="237"/>
      <c r="D80" s="237"/>
      <c r="E80" s="33">
        <v>2500000</v>
      </c>
      <c r="F80" s="120">
        <v>2100000</v>
      </c>
      <c r="G80" s="33">
        <f t="shared" si="4"/>
        <v>400000</v>
      </c>
      <c r="H80" s="171">
        <f t="shared" si="5"/>
        <v>19.047619047619047</v>
      </c>
      <c r="I80" s="151" t="s">
        <v>277</v>
      </c>
    </row>
    <row r="81" spans="1:9" ht="37.5" customHeight="1">
      <c r="A81" s="175">
        <v>152556</v>
      </c>
      <c r="B81" s="221"/>
      <c r="C81" s="222" t="s">
        <v>175</v>
      </c>
      <c r="D81" s="223"/>
      <c r="E81" s="38">
        <v>766800</v>
      </c>
      <c r="F81" s="33">
        <v>300000</v>
      </c>
      <c r="G81" s="33">
        <f t="shared" si="4"/>
        <v>466800</v>
      </c>
      <c r="H81" s="171">
        <f t="shared" si="5"/>
        <v>155.6</v>
      </c>
      <c r="I81" s="151" t="s">
        <v>278</v>
      </c>
    </row>
    <row r="82" spans="1:9" ht="37.5" customHeight="1">
      <c r="A82" s="175">
        <v>256473</v>
      </c>
      <c r="B82" s="221"/>
      <c r="C82" s="222" t="s">
        <v>225</v>
      </c>
      <c r="D82" s="223"/>
      <c r="E82" s="38">
        <v>300000</v>
      </c>
      <c r="F82" s="33">
        <v>256473</v>
      </c>
      <c r="G82" s="33">
        <f t="shared" si="4"/>
        <v>43527</v>
      </c>
      <c r="H82" s="171">
        <f t="shared" si="5"/>
        <v>16.971377104022643</v>
      </c>
      <c r="I82" s="128" t="s">
        <v>308</v>
      </c>
    </row>
    <row r="83" spans="1:9" ht="28.5" customHeight="1">
      <c r="A83" s="175">
        <v>469103</v>
      </c>
      <c r="B83" s="221"/>
      <c r="C83" s="222" t="s">
        <v>176</v>
      </c>
      <c r="D83" s="223"/>
      <c r="E83" s="38">
        <v>377105</v>
      </c>
      <c r="F83" s="33">
        <v>113317</v>
      </c>
      <c r="G83" s="33">
        <f t="shared" si="4"/>
        <v>263788</v>
      </c>
      <c r="H83" s="171">
        <f t="shared" si="5"/>
        <v>232.78766645781306</v>
      </c>
      <c r="I83" s="128" t="s">
        <v>275</v>
      </c>
    </row>
    <row r="84" spans="1:9" ht="28.5" customHeight="1">
      <c r="A84" s="174">
        <v>4690456</v>
      </c>
      <c r="B84" s="221"/>
      <c r="C84" s="223" t="s">
        <v>226</v>
      </c>
      <c r="D84" s="237"/>
      <c r="E84" s="38">
        <v>5000584</v>
      </c>
      <c r="F84" s="33">
        <v>4656900</v>
      </c>
      <c r="G84" s="33">
        <f t="shared" si="4"/>
        <v>343684</v>
      </c>
      <c r="H84" s="171">
        <f>G84/F84*100</f>
        <v>7.380102643389379</v>
      </c>
      <c r="I84" s="151"/>
    </row>
    <row r="85" spans="1:9" ht="28.5" customHeight="1">
      <c r="A85" s="174">
        <f>A86</f>
        <v>4045530</v>
      </c>
      <c r="B85" s="221"/>
      <c r="C85" s="222" t="s">
        <v>261</v>
      </c>
      <c r="D85" s="222"/>
      <c r="E85" s="115">
        <f>E86</f>
        <v>1071244</v>
      </c>
      <c r="F85" s="115">
        <f>F86</f>
        <v>3925779</v>
      </c>
      <c r="G85" s="239">
        <f>G86</f>
        <v>-2854535</v>
      </c>
      <c r="H85" s="171">
        <f t="shared" si="5"/>
        <v>-72.71257500740617</v>
      </c>
      <c r="I85" s="151"/>
    </row>
    <row r="86" spans="1:9" ht="104.25" customHeight="1">
      <c r="A86" s="174">
        <v>4045530</v>
      </c>
      <c r="B86" s="221"/>
      <c r="C86" s="222"/>
      <c r="D86" s="223" t="s">
        <v>262</v>
      </c>
      <c r="E86" s="38">
        <v>1071244</v>
      </c>
      <c r="F86" s="33">
        <v>3925779</v>
      </c>
      <c r="G86" s="240">
        <f t="shared" si="4"/>
        <v>-2854535</v>
      </c>
      <c r="H86" s="171">
        <f t="shared" si="5"/>
        <v>-72.71257500740617</v>
      </c>
      <c r="I86" s="151" t="s">
        <v>333</v>
      </c>
    </row>
    <row r="87" spans="1:9" ht="31.5" customHeight="1">
      <c r="A87" s="232">
        <f>SUM(A88:A90)</f>
        <v>25807395</v>
      </c>
      <c r="B87" s="221"/>
      <c r="C87" s="222" t="s">
        <v>57</v>
      </c>
      <c r="D87" s="223"/>
      <c r="E87" s="33">
        <f>SUM(E88:E90)</f>
        <v>30175519</v>
      </c>
      <c r="F87" s="33">
        <f>SUM(F88:F90)</f>
        <v>27157999</v>
      </c>
      <c r="G87" s="33">
        <f>SUM(G88:G90)</f>
        <v>3017520</v>
      </c>
      <c r="H87" s="171">
        <f t="shared" si="5"/>
        <v>11.110980599122932</v>
      </c>
      <c r="I87" s="128"/>
    </row>
    <row r="88" spans="1:9" ht="31.5" customHeight="1">
      <c r="A88" s="174">
        <v>28295</v>
      </c>
      <c r="B88" s="221"/>
      <c r="C88" s="222"/>
      <c r="D88" s="222" t="s">
        <v>268</v>
      </c>
      <c r="E88" s="38">
        <v>1</v>
      </c>
      <c r="F88" s="33">
        <v>0</v>
      </c>
      <c r="G88" s="33">
        <f t="shared" si="4"/>
        <v>1</v>
      </c>
      <c r="H88" s="171" t="e">
        <f t="shared" si="5"/>
        <v>#DIV/0!</v>
      </c>
      <c r="I88" s="128"/>
    </row>
    <row r="89" spans="1:9" ht="31.5" customHeight="1">
      <c r="A89" s="178">
        <v>347</v>
      </c>
      <c r="B89" s="236"/>
      <c r="C89" s="111"/>
      <c r="D89" s="111" t="s">
        <v>266</v>
      </c>
      <c r="E89" s="38">
        <v>330</v>
      </c>
      <c r="F89" s="33">
        <v>331</v>
      </c>
      <c r="G89" s="33">
        <f t="shared" si="4"/>
        <v>-1</v>
      </c>
      <c r="H89" s="171">
        <f t="shared" si="5"/>
        <v>-0.3021148036253776</v>
      </c>
      <c r="I89" s="128"/>
    </row>
    <row r="90" spans="1:9" ht="33.75" customHeight="1">
      <c r="A90" s="178">
        <v>25778753</v>
      </c>
      <c r="B90" s="221"/>
      <c r="C90" s="222"/>
      <c r="D90" s="223" t="s">
        <v>267</v>
      </c>
      <c r="E90" s="38">
        <v>30175188</v>
      </c>
      <c r="F90" s="33">
        <v>27157668</v>
      </c>
      <c r="G90" s="33">
        <f t="shared" si="4"/>
        <v>3017520</v>
      </c>
      <c r="H90" s="171">
        <f t="shared" si="5"/>
        <v>11.111116020712824</v>
      </c>
      <c r="I90" s="151" t="s">
        <v>279</v>
      </c>
    </row>
    <row r="91" spans="1:9" ht="29.25" customHeight="1" thickBot="1">
      <c r="A91" s="181">
        <f>A7+A16+A34+A68+A70+A85+A87</f>
        <v>158816429</v>
      </c>
      <c r="B91" s="350" t="s">
        <v>227</v>
      </c>
      <c r="C91" s="351"/>
      <c r="D91" s="351"/>
      <c r="E91" s="225">
        <f>E7+E16+E34+E68+E70+E85+E87</f>
        <v>178384263</v>
      </c>
      <c r="F91" s="224">
        <f>F7+F16+F34+F68+F70+F85+F87</f>
        <v>166067756</v>
      </c>
      <c r="G91" s="170">
        <f>G7+G16+G34+G68+G70+G87</f>
        <v>15171042</v>
      </c>
      <c r="H91" s="172">
        <f t="shared" si="5"/>
        <v>9.135453121917298</v>
      </c>
      <c r="I91" s="173"/>
    </row>
    <row r="92" spans="1:8" ht="16.5" hidden="1">
      <c r="A92" s="182">
        <f>'收支餘絀預計表'!A13</f>
        <v>158816429</v>
      </c>
      <c r="B92" s="159"/>
      <c r="C92" s="159"/>
      <c r="D92" s="159"/>
      <c r="E92" s="158">
        <f>'收支餘絀預計表'!C13</f>
        <v>178384263</v>
      </c>
      <c r="F92" s="158">
        <f>'收支餘絀預計表'!D13</f>
        <v>166067756</v>
      </c>
      <c r="G92" s="160">
        <f>'收支餘絀預計表'!E13</f>
        <v>12316507</v>
      </c>
      <c r="H92" s="161">
        <f>'收支餘絀預計表'!F13</f>
        <v>7.416555324562825</v>
      </c>
    </row>
    <row r="93" spans="1:8" ht="16.5" hidden="1">
      <c r="A93" s="182">
        <f>A91-A92</f>
        <v>0</v>
      </c>
      <c r="B93" s="159"/>
      <c r="C93" s="159"/>
      <c r="D93" s="159"/>
      <c r="E93" s="158">
        <f>E91-E92</f>
        <v>0</v>
      </c>
      <c r="F93" s="158">
        <f>F91-F92</f>
        <v>0</v>
      </c>
      <c r="G93" s="158">
        <f>G91-G92</f>
        <v>2854535</v>
      </c>
      <c r="H93" s="158">
        <f>H91-H92</f>
        <v>1.7188977973544723</v>
      </c>
    </row>
  </sheetData>
  <sheetProtection password="CF4C" sheet="1"/>
  <mergeCells count="22">
    <mergeCell ref="C15:D15"/>
    <mergeCell ref="G4:H5"/>
    <mergeCell ref="C28:D28"/>
    <mergeCell ref="B34:D34"/>
    <mergeCell ref="I73:I75"/>
    <mergeCell ref="I8:I10"/>
    <mergeCell ref="I56:I60"/>
    <mergeCell ref="A1:I1"/>
    <mergeCell ref="A2:I2"/>
    <mergeCell ref="A4:A6"/>
    <mergeCell ref="E4:E6"/>
    <mergeCell ref="B7:D7"/>
    <mergeCell ref="A3:I3"/>
    <mergeCell ref="I4:I5"/>
    <mergeCell ref="F4:F6"/>
    <mergeCell ref="B4:D6"/>
    <mergeCell ref="B91:D91"/>
    <mergeCell ref="C44:D44"/>
    <mergeCell ref="B70:D70"/>
    <mergeCell ref="C33:D33"/>
    <mergeCell ref="C69:D69"/>
    <mergeCell ref="C67:D67"/>
  </mergeCells>
  <printOptions horizontalCentered="1"/>
  <pageMargins left="0.2362204724409449" right="0.2362204724409449" top="0.3937007874015748" bottom="0.7480314960629921" header="0.31496062992125984" footer="0.31496062992125984"/>
  <pageSetup fitToHeight="4" fitToWidth="1" horizontalDpi="600" verticalDpi="600" orientation="portrait" paperSize="9" scale="93" r:id="rId1"/>
  <headerFooter alignWithMargins="0">
    <oddHeader>&amp;R&amp;"標楷體,標準"
全&amp;N頁第&amp;P頁
單位：新臺幣元</oddHeader>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房佳樺</cp:lastModifiedBy>
  <cp:lastPrinted>2024-03-15T07:19:37Z</cp:lastPrinted>
  <dcterms:created xsi:type="dcterms:W3CDTF">2014-03-05T07:53:40Z</dcterms:created>
  <dcterms:modified xsi:type="dcterms:W3CDTF">2024-04-25T03:46:10Z</dcterms:modified>
  <cp:category/>
  <cp:version/>
  <cp:contentType/>
  <cp:contentStatus/>
</cp:coreProperties>
</file>