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歷年會計查帳\110教育局查帳資料(107-109)\108\"/>
    </mc:Choice>
  </mc:AlternateContent>
  <workbookProtection workbookAlgorithmName="SHA-512" workbookHashValue="90u9fq5mZubw4kSxKvAaC78Oc/FYG6EtEBi/rQ4M0KHHcnPuTdZ9pkHpGAU6q9orpLMJ7DZb9PFj8gzxcatfpg==" workbookSaltValue="HQu111KRzHDCNMLGTv0A5A==" workbookSpinCount="100000" lockStructure="1"/>
  <bookViews>
    <workbookView xWindow="0" yWindow="0" windowWidth="19200" windowHeight="6225" tabRatio="669" activeTab="6"/>
  </bookViews>
  <sheets>
    <sheet name="平衡表" sheetId="1" r:id="rId1"/>
    <sheet name="收支餘絀表" sheetId="2" r:id="rId2"/>
    <sheet name="固定資產無形資產變動表" sheetId="3" r:id="rId3"/>
    <sheet name="收入明細" sheetId="4" r:id="rId4"/>
    <sheet name="支出明細表" sheetId="5" r:id="rId5"/>
    <sheet name="現金收支概況表" sheetId="6" r:id="rId6"/>
    <sheet name="現金流量表" sheetId="7" r:id="rId7"/>
  </sheets>
  <definedNames>
    <definedName name="_xlnm.Print_Area" localSheetId="2">固定資產無形資產變動表!$A$1:$H$82</definedName>
    <definedName name="_xlnm.Print_Titles" localSheetId="4">支出明細表!$1:$5</definedName>
    <definedName name="_xlnm.Print_Titles" localSheetId="2">固定資產無形資產變動表!$1:$4</definedName>
  </definedNames>
  <calcPr calcId="191029"/>
</workbook>
</file>

<file path=xl/calcChain.xml><?xml version="1.0" encoding="utf-8"?>
<calcChain xmlns="http://schemas.openxmlformats.org/spreadsheetml/2006/main">
  <c r="D65" i="3" l="1"/>
  <c r="E65" i="3"/>
  <c r="C19" i="2" l="1"/>
  <c r="C17" i="2"/>
  <c r="C9" i="2"/>
  <c r="C8" i="2"/>
  <c r="C13" i="4" l="1"/>
  <c r="C10" i="2" s="1"/>
  <c r="D13" i="4"/>
  <c r="D14" i="4"/>
  <c r="E15" i="4"/>
  <c r="F15" i="4" s="1"/>
  <c r="D35" i="5" l="1"/>
  <c r="D18" i="4"/>
  <c r="C39" i="1"/>
  <c r="B39" i="1"/>
  <c r="B41" i="1"/>
  <c r="C14" i="5" l="1"/>
  <c r="G24" i="3" l="1"/>
  <c r="F24" i="3"/>
  <c r="E24" i="3"/>
  <c r="D24" i="3"/>
  <c r="D32" i="3"/>
  <c r="C26" i="5" l="1"/>
  <c r="C18" i="2" s="1"/>
  <c r="D7" i="5"/>
  <c r="D20" i="4"/>
  <c r="C7" i="7"/>
  <c r="I45" i="3" l="1"/>
  <c r="C54" i="3"/>
  <c r="G8" i="3"/>
  <c r="F8" i="3"/>
  <c r="E8" i="3"/>
  <c r="C8" i="3"/>
  <c r="F65" i="3" l="1"/>
  <c r="F7" i="3"/>
  <c r="F64" i="3" l="1"/>
  <c r="F62" i="3" s="1"/>
  <c r="F59" i="3" s="1"/>
  <c r="C62" i="3"/>
  <c r="C59" i="3" s="1"/>
  <c r="C24" i="3"/>
  <c r="C53" i="3"/>
  <c r="C74" i="3"/>
  <c r="C77" i="3"/>
  <c r="C76" i="3" s="1"/>
  <c r="C27" i="6"/>
  <c r="C8" i="6"/>
  <c r="D34" i="5"/>
  <c r="D33" i="5"/>
  <c r="C33" i="5"/>
  <c r="C20" i="2" s="1"/>
  <c r="E34" i="5"/>
  <c r="F34" i="5" s="1"/>
  <c r="E10" i="5"/>
  <c r="F10" i="5" s="1"/>
  <c r="D25" i="5"/>
  <c r="D18" i="5"/>
  <c r="D6" i="5"/>
  <c r="C6" i="4"/>
  <c r="C7" i="2" s="1"/>
  <c r="D19" i="4"/>
  <c r="D12" i="4"/>
  <c r="D13" i="2"/>
  <c r="D9" i="2"/>
  <c r="D6" i="2"/>
  <c r="A24" i="2"/>
  <c r="A23" i="2"/>
  <c r="C41" i="1"/>
  <c r="F38" i="6"/>
  <c r="E38" i="6"/>
  <c r="C38" i="6"/>
  <c r="E27" i="6"/>
  <c r="C25" i="5"/>
  <c r="C6" i="5"/>
  <c r="C14" i="2" s="1"/>
  <c r="C10" i="4"/>
  <c r="C15" i="6" l="1"/>
  <c r="C7" i="3"/>
  <c r="C5" i="3" s="1"/>
  <c r="C82" i="3" s="1"/>
  <c r="H24" i="3"/>
  <c r="D21" i="2"/>
  <c r="D37" i="6" l="1"/>
  <c r="D38" i="6" s="1"/>
  <c r="D33" i="6"/>
  <c r="D23" i="6"/>
  <c r="D10" i="6"/>
  <c r="D31" i="6"/>
  <c r="D22" i="6"/>
  <c r="D7" i="6"/>
  <c r="D21" i="6"/>
  <c r="D15" i="6"/>
  <c r="D6" i="6"/>
  <c r="D14" i="6"/>
  <c r="D19" i="6"/>
  <c r="D13" i="6"/>
  <c r="D18" i="6"/>
  <c r="D12" i="6"/>
  <c r="D25" i="6"/>
  <c r="D17" i="6"/>
  <c r="D11" i="6"/>
  <c r="D32" i="6"/>
  <c r="D24" i="6"/>
  <c r="D9" i="6"/>
  <c r="D29" i="6"/>
  <c r="D20" i="6"/>
  <c r="D8" i="6"/>
  <c r="D42" i="1" l="1"/>
  <c r="D24" i="2" s="1"/>
  <c r="D25" i="2" l="1"/>
  <c r="E24" i="2"/>
  <c r="E15" i="6"/>
  <c r="C24" i="7"/>
  <c r="D24" i="7"/>
  <c r="C8" i="7"/>
  <c r="F23" i="6" l="1"/>
  <c r="F22" i="6"/>
  <c r="F8" i="6"/>
  <c r="F13" i="6"/>
  <c r="F21" i="6"/>
  <c r="F15" i="6"/>
  <c r="F6" i="6"/>
  <c r="F29" i="6"/>
  <c r="F20" i="6"/>
  <c r="F14" i="6"/>
  <c r="F33" i="6"/>
  <c r="F18" i="6"/>
  <c r="F12" i="6"/>
  <c r="F32" i="6"/>
  <c r="F17" i="6"/>
  <c r="F11" i="6"/>
  <c r="F31" i="6"/>
  <c r="F25" i="6"/>
  <c r="F10" i="6"/>
  <c r="F24" i="6"/>
  <c r="F7" i="6"/>
  <c r="F9" i="6"/>
  <c r="F19" i="6"/>
  <c r="C14" i="7"/>
  <c r="C17" i="7" s="1"/>
  <c r="C28" i="6"/>
  <c r="D28" i="6" s="1"/>
  <c r="D41" i="1"/>
  <c r="D23" i="2" s="1"/>
  <c r="E23" i="2" s="1"/>
  <c r="C34" i="6" l="1"/>
  <c r="E34" i="6"/>
  <c r="F34" i="6" s="1"/>
  <c r="D30" i="7"/>
  <c r="E28" i="6" l="1"/>
  <c r="F27" i="6"/>
  <c r="D9" i="1"/>
  <c r="D10" i="1"/>
  <c r="D11" i="1"/>
  <c r="D12" i="1"/>
  <c r="D14" i="1"/>
  <c r="D15" i="1"/>
  <c r="D17" i="1"/>
  <c r="D18" i="1"/>
  <c r="D19" i="1"/>
  <c r="D20" i="1"/>
  <c r="D21" i="1"/>
  <c r="D23" i="1"/>
  <c r="D24" i="1"/>
  <c r="D25" i="1"/>
  <c r="D29" i="1"/>
  <c r="D30" i="1"/>
  <c r="D31" i="1"/>
  <c r="D33" i="1"/>
  <c r="D34" i="1"/>
  <c r="D37" i="1"/>
  <c r="D38" i="1"/>
  <c r="B36" i="1"/>
  <c r="B16" i="1"/>
  <c r="B13" i="1"/>
  <c r="B8" i="1"/>
  <c r="C36" i="1"/>
  <c r="C32" i="1"/>
  <c r="C28" i="1"/>
  <c r="C22" i="1"/>
  <c r="C16" i="1"/>
  <c r="C13" i="1"/>
  <c r="C8" i="1"/>
  <c r="E35" i="6" l="1"/>
  <c r="F28" i="6"/>
  <c r="D16" i="1"/>
  <c r="D13" i="1"/>
  <c r="D36" i="1"/>
  <c r="C27" i="1"/>
  <c r="C26" i="1"/>
  <c r="A13" i="2"/>
  <c r="A6" i="2"/>
  <c r="F35" i="6" l="1"/>
  <c r="E39" i="6"/>
  <c r="F39" i="6" s="1"/>
  <c r="A21" i="2"/>
  <c r="E7" i="4"/>
  <c r="E8" i="4"/>
  <c r="E9" i="4"/>
  <c r="A25" i="2" l="1"/>
  <c r="D6" i="7"/>
  <c r="D8" i="7" s="1"/>
  <c r="D14" i="7" s="1"/>
  <c r="D17" i="7" s="1"/>
  <c r="D31" i="7" s="1"/>
  <c r="D33" i="7" s="1"/>
  <c r="H17" i="3"/>
  <c r="C35" i="1" l="1"/>
  <c r="C43" i="1" s="1"/>
  <c r="H6" i="3"/>
  <c r="K6" i="3" s="1"/>
  <c r="H67" i="3"/>
  <c r="H66" i="3"/>
  <c r="H27" i="3"/>
  <c r="B35" i="1" l="1"/>
  <c r="D40" i="1"/>
  <c r="E40" i="1" s="1"/>
  <c r="C30" i="7"/>
  <c r="C31" i="7" s="1"/>
  <c r="C33" i="7" s="1"/>
  <c r="E9" i="1"/>
  <c r="E10" i="1"/>
  <c r="E11" i="1"/>
  <c r="E12" i="1"/>
  <c r="E14" i="1"/>
  <c r="E15" i="1"/>
  <c r="E17" i="1"/>
  <c r="E18" i="1"/>
  <c r="E19" i="1"/>
  <c r="E20" i="1"/>
  <c r="E21" i="1"/>
  <c r="E23" i="1"/>
  <c r="E24" i="1"/>
  <c r="E25" i="1"/>
  <c r="E29" i="1"/>
  <c r="E30" i="1"/>
  <c r="E31" i="1"/>
  <c r="E33" i="1"/>
  <c r="E34" i="1"/>
  <c r="E37" i="1"/>
  <c r="E38" i="1"/>
  <c r="B28" i="1" l="1"/>
  <c r="D28" i="1" l="1"/>
  <c r="D27" i="6"/>
  <c r="C35" i="6"/>
  <c r="D34" i="6"/>
  <c r="E16" i="5"/>
  <c r="F16" i="5" s="1"/>
  <c r="D35" i="6" l="1"/>
  <c r="C39" i="6"/>
  <c r="D39" i="6" s="1"/>
  <c r="E9" i="5"/>
  <c r="F9" i="5" s="1"/>
  <c r="E35" i="5"/>
  <c r="F35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D26" i="5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C18" i="5"/>
  <c r="C16" i="2" s="1"/>
  <c r="E17" i="5"/>
  <c r="F17" i="5" s="1"/>
  <c r="E15" i="5"/>
  <c r="F15" i="5" s="1"/>
  <c r="E14" i="5"/>
  <c r="F14" i="5" s="1"/>
  <c r="E13" i="5"/>
  <c r="F13" i="5" s="1"/>
  <c r="D12" i="5"/>
  <c r="C12" i="5"/>
  <c r="C15" i="2" s="1"/>
  <c r="E11" i="5"/>
  <c r="F11" i="5" s="1"/>
  <c r="E8" i="5"/>
  <c r="F8" i="5" s="1"/>
  <c r="E7" i="5"/>
  <c r="F7" i="5" s="1"/>
  <c r="C36" i="5" l="1"/>
  <c r="D36" i="5"/>
  <c r="D37" i="5" s="1"/>
  <c r="E25" i="5"/>
  <c r="F25" i="5" s="1"/>
  <c r="E18" i="5"/>
  <c r="F18" i="5" s="1"/>
  <c r="E12" i="5"/>
  <c r="E26" i="5"/>
  <c r="F26" i="5" s="1"/>
  <c r="E33" i="5"/>
  <c r="F33" i="5" s="1"/>
  <c r="E6" i="5"/>
  <c r="F6" i="5" s="1"/>
  <c r="C19" i="4"/>
  <c r="C12" i="2" s="1"/>
  <c r="E20" i="4"/>
  <c r="F20" i="4" s="1"/>
  <c r="F19" i="4" s="1"/>
  <c r="E18" i="4"/>
  <c r="F18" i="4" s="1"/>
  <c r="E17" i="4"/>
  <c r="F17" i="4" s="1"/>
  <c r="D16" i="4"/>
  <c r="C16" i="4"/>
  <c r="C11" i="2" s="1"/>
  <c r="E14" i="4"/>
  <c r="F14" i="4" s="1"/>
  <c r="F13" i="4" s="1"/>
  <c r="E12" i="4"/>
  <c r="F12" i="4" s="1"/>
  <c r="E11" i="4"/>
  <c r="F11" i="4" s="1"/>
  <c r="D10" i="4"/>
  <c r="F8" i="4"/>
  <c r="F7" i="4"/>
  <c r="D6" i="4"/>
  <c r="E6" i="4" l="1"/>
  <c r="F6" i="4" s="1"/>
  <c r="E19" i="4"/>
  <c r="F12" i="5"/>
  <c r="F36" i="5" s="1"/>
  <c r="E36" i="5"/>
  <c r="D21" i="4"/>
  <c r="D22" i="4" s="1"/>
  <c r="E13" i="4"/>
  <c r="E16" i="4"/>
  <c r="F16" i="4" s="1"/>
  <c r="E10" i="4"/>
  <c r="F10" i="4" s="1"/>
  <c r="C21" i="4"/>
  <c r="F9" i="4"/>
  <c r="H81" i="3"/>
  <c r="H80" i="3"/>
  <c r="K80" i="3" s="1"/>
  <c r="H79" i="3"/>
  <c r="H78" i="3"/>
  <c r="H77" i="3"/>
  <c r="K77" i="3" s="1"/>
  <c r="F76" i="3"/>
  <c r="H75" i="3"/>
  <c r="H74" i="3"/>
  <c r="K74" i="3" s="1"/>
  <c r="H73" i="3"/>
  <c r="H72" i="3"/>
  <c r="H71" i="3"/>
  <c r="H70" i="3"/>
  <c r="H69" i="3"/>
  <c r="H68" i="3"/>
  <c r="H65" i="3"/>
  <c r="H64" i="3"/>
  <c r="H63" i="3"/>
  <c r="G62" i="3"/>
  <c r="G59" i="3" s="1"/>
  <c r="E62" i="3"/>
  <c r="E59" i="3" s="1"/>
  <c r="D62" i="3"/>
  <c r="D59" i="3" s="1"/>
  <c r="H61" i="3"/>
  <c r="H60" i="3"/>
  <c r="H58" i="3"/>
  <c r="H57" i="3"/>
  <c r="H56" i="3"/>
  <c r="H55" i="3"/>
  <c r="G54" i="3"/>
  <c r="G53" i="3" s="1"/>
  <c r="F54" i="3"/>
  <c r="F53" i="3" s="1"/>
  <c r="F5" i="3" s="1"/>
  <c r="E54" i="3"/>
  <c r="E53" i="3" s="1"/>
  <c r="D54" i="3"/>
  <c r="D53" i="3" s="1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11" i="3"/>
  <c r="H23" i="3"/>
  <c r="H22" i="3"/>
  <c r="H21" i="3"/>
  <c r="H20" i="3"/>
  <c r="H19" i="3"/>
  <c r="H18" i="3"/>
  <c r="H16" i="3"/>
  <c r="H15" i="3"/>
  <c r="H14" i="3"/>
  <c r="H13" i="3"/>
  <c r="H12" i="3"/>
  <c r="H10" i="3"/>
  <c r="H9" i="3"/>
  <c r="D8" i="3"/>
  <c r="F82" i="3" l="1"/>
  <c r="H54" i="3"/>
  <c r="H53" i="3" s="1"/>
  <c r="K53" i="3" s="1"/>
  <c r="H62" i="3"/>
  <c r="E7" i="3"/>
  <c r="E5" i="3" s="1"/>
  <c r="E82" i="3" s="1"/>
  <c r="D7" i="3"/>
  <c r="D5" i="3" s="1"/>
  <c r="H76" i="3"/>
  <c r="G7" i="3"/>
  <c r="G5" i="3" s="1"/>
  <c r="G82" i="3" s="1"/>
  <c r="H59" i="3"/>
  <c r="K59" i="3" s="1"/>
  <c r="E21" i="4"/>
  <c r="F21" i="4" s="1"/>
  <c r="H8" i="3"/>
  <c r="E12" i="2"/>
  <c r="F12" i="2" s="1"/>
  <c r="E7" i="2"/>
  <c r="F7" i="2" s="1"/>
  <c r="E8" i="2"/>
  <c r="F8" i="2" s="1"/>
  <c r="E9" i="2"/>
  <c r="F9" i="2" s="1"/>
  <c r="E10" i="2"/>
  <c r="F10" i="2" s="1"/>
  <c r="E11" i="2"/>
  <c r="F11" i="2" s="1"/>
  <c r="E14" i="2"/>
  <c r="F14" i="2" s="1"/>
  <c r="E15" i="2"/>
  <c r="F15" i="2" s="1"/>
  <c r="E16" i="2"/>
  <c r="E17" i="2"/>
  <c r="F17" i="2" s="1"/>
  <c r="E18" i="2"/>
  <c r="F18" i="2" s="1"/>
  <c r="E19" i="2"/>
  <c r="F19" i="2" s="1"/>
  <c r="E20" i="2"/>
  <c r="F20" i="2" s="1"/>
  <c r="C13" i="2"/>
  <c r="C37" i="5" s="1"/>
  <c r="C6" i="2"/>
  <c r="C22" i="4" s="1"/>
  <c r="C21" i="2" l="1"/>
  <c r="C25" i="2" s="1"/>
  <c r="D82" i="3"/>
  <c r="H82" i="3" s="1"/>
  <c r="H5" i="3"/>
  <c r="K5" i="3" s="1"/>
  <c r="H7" i="3"/>
  <c r="K7" i="3" s="1"/>
  <c r="E13" i="2"/>
  <c r="F13" i="2" s="1"/>
  <c r="F16" i="2"/>
  <c r="E6" i="2"/>
  <c r="F6" i="2" s="1"/>
  <c r="E36" i="1" l="1"/>
  <c r="E28" i="1"/>
  <c r="B32" i="1"/>
  <c r="B22" i="1"/>
  <c r="D22" i="1" s="1"/>
  <c r="D8" i="1"/>
  <c r="E8" i="1" s="1"/>
  <c r="D32" i="1" l="1"/>
  <c r="E32" i="1" s="1"/>
  <c r="B27" i="1"/>
  <c r="B43" i="1" s="1"/>
  <c r="E21" i="2"/>
  <c r="F21" i="2" s="1"/>
  <c r="E25" i="2"/>
  <c r="F25" i="2" s="1"/>
  <c r="D39" i="1"/>
  <c r="E39" i="1" s="1"/>
  <c r="E13" i="1"/>
  <c r="E16" i="1"/>
  <c r="E22" i="1"/>
  <c r="D35" i="1"/>
  <c r="B26" i="1"/>
  <c r="D26" i="1" s="1"/>
  <c r="D27" i="1" l="1"/>
  <c r="E27" i="1" s="1"/>
  <c r="D43" i="1"/>
  <c r="E35" i="1"/>
  <c r="E26" i="1"/>
  <c r="E43" i="1" l="1"/>
</calcChain>
</file>

<file path=xl/sharedStrings.xml><?xml version="1.0" encoding="utf-8"?>
<sst xmlns="http://schemas.openxmlformats.org/spreadsheetml/2006/main" count="365" uniqueCount="320">
  <si>
    <t>流動資產</t>
  </si>
  <si>
    <t>　現金</t>
  </si>
  <si>
    <t>　銀行存款</t>
  </si>
  <si>
    <t>　預付款項</t>
  </si>
  <si>
    <t>長期投資，應收款及基金</t>
  </si>
  <si>
    <t>　長期投資</t>
  </si>
  <si>
    <t>　特種基金</t>
  </si>
  <si>
    <t>固定資產</t>
  </si>
  <si>
    <t>　機械儀器及設備</t>
  </si>
  <si>
    <t>　圖書及博物</t>
  </si>
  <si>
    <t>　其他設備</t>
  </si>
  <si>
    <t>　存出保證金</t>
  </si>
  <si>
    <t>流動負債</t>
  </si>
  <si>
    <t>　應付款項</t>
  </si>
  <si>
    <t>　預收款項</t>
  </si>
  <si>
    <t>　代收款項</t>
  </si>
  <si>
    <t>　存入保證金</t>
  </si>
  <si>
    <t>　指定用途權益基金</t>
  </si>
  <si>
    <t>　未指定用途權益基金</t>
  </si>
  <si>
    <t>餘絀</t>
  </si>
  <si>
    <t>　累積餘絀</t>
  </si>
  <si>
    <t>比較增減</t>
    <phoneticPr fontId="1" type="noConversion"/>
  </si>
  <si>
    <t>(本)年07月31日決算數(1)</t>
    <phoneticPr fontId="1" type="noConversion"/>
  </si>
  <si>
    <t>(上)年07月31日決算數(2)</t>
    <phoneticPr fontId="1" type="noConversion"/>
  </si>
  <si>
    <t>其他資產</t>
    <phoneticPr fontId="1" type="noConversion"/>
  </si>
  <si>
    <t>負債</t>
    <phoneticPr fontId="1" type="noConversion"/>
  </si>
  <si>
    <t>　閒置資產---土地</t>
    <phoneticPr fontId="1" type="noConversion"/>
  </si>
  <si>
    <t>其他負債</t>
    <phoneticPr fontId="1" type="noConversion"/>
  </si>
  <si>
    <t>上年度決算數</t>
  </si>
  <si>
    <t>各項收入</t>
  </si>
  <si>
    <t>　學雜費收入</t>
  </si>
  <si>
    <t>　其他教學活動收入</t>
  </si>
  <si>
    <t>　補助及捐贈收入</t>
  </si>
  <si>
    <t>　財務收入</t>
  </si>
  <si>
    <t>　其他收入</t>
  </si>
  <si>
    <t>各項支出</t>
  </si>
  <si>
    <t>　董事會支出</t>
  </si>
  <si>
    <t>　行政管理支出</t>
  </si>
  <si>
    <t>　教學研究及訓輔支出</t>
  </si>
  <si>
    <t>　獎助學金支出</t>
  </si>
  <si>
    <t>　推廣教育支出</t>
  </si>
  <si>
    <t>　其他教學活動支出</t>
    <phoneticPr fontId="1" type="noConversion"/>
  </si>
  <si>
    <t>　其他支出</t>
  </si>
  <si>
    <t>科目</t>
    <phoneticPr fontId="1" type="noConversion"/>
  </si>
  <si>
    <t>比較增減</t>
    <phoneticPr fontId="1" type="noConversion"/>
  </si>
  <si>
    <t xml:space="preserve">  金額                (3)=(2)-(1)</t>
    <phoneticPr fontId="1" type="noConversion"/>
  </si>
  <si>
    <t xml:space="preserve">   ％           (4)=(3)/(1)*100</t>
    <phoneticPr fontId="1" type="noConversion"/>
  </si>
  <si>
    <t>科  目  名 稱</t>
    <phoneticPr fontId="1" type="noConversion"/>
  </si>
  <si>
    <t>結存</t>
    <phoneticPr fontId="1" type="noConversion"/>
  </si>
  <si>
    <t>　　廣告設計科</t>
  </si>
  <si>
    <t>　　電腦教學組</t>
  </si>
  <si>
    <t>　　綜合高中部</t>
  </si>
  <si>
    <t>　　資處科</t>
  </si>
  <si>
    <t>　　教務處</t>
  </si>
  <si>
    <t>　　教導處</t>
  </si>
  <si>
    <t>　　學務處</t>
  </si>
  <si>
    <t>　　心理輔導室</t>
  </si>
  <si>
    <t>　　銅樂器</t>
  </si>
  <si>
    <t>　　實習處</t>
  </si>
  <si>
    <t>　　行政電腦組</t>
  </si>
  <si>
    <t>　　教官室</t>
  </si>
  <si>
    <t>　　中正社大</t>
  </si>
  <si>
    <t>　　總務處</t>
  </si>
  <si>
    <t>　　人事室</t>
  </si>
  <si>
    <t>　　會計室</t>
  </si>
  <si>
    <t>　　校長室</t>
  </si>
  <si>
    <t>　　董事會</t>
  </si>
  <si>
    <t>其他資產</t>
    <phoneticPr fontId="1" type="noConversion"/>
  </si>
  <si>
    <t>固定資產及無形資產合計</t>
  </si>
  <si>
    <t>預算數</t>
  </si>
  <si>
    <t>實際數</t>
  </si>
  <si>
    <t>差異</t>
  </si>
  <si>
    <t>％</t>
  </si>
  <si>
    <t>學雜費收入</t>
    <phoneticPr fontId="3" type="noConversion"/>
  </si>
  <si>
    <t>推廣教育及其他教學活動收入</t>
    <phoneticPr fontId="3" type="noConversion"/>
  </si>
  <si>
    <t>補助及受贈收入</t>
    <phoneticPr fontId="3" type="noConversion"/>
  </si>
  <si>
    <t>財務收入</t>
  </si>
  <si>
    <t>其他收入</t>
  </si>
  <si>
    <t>科目</t>
    <phoneticPr fontId="3" type="noConversion"/>
  </si>
  <si>
    <t>比較</t>
  </si>
  <si>
    <t>備註</t>
  </si>
  <si>
    <t>差異</t>
    <phoneticPr fontId="3" type="noConversion"/>
  </si>
  <si>
    <t>％</t>
    <phoneticPr fontId="3" type="noConversion"/>
  </si>
  <si>
    <t>董事會支出</t>
  </si>
  <si>
    <t>行政管理支出</t>
  </si>
  <si>
    <t xml:space="preserve"> </t>
    <phoneticPr fontId="3" type="noConversion"/>
  </si>
  <si>
    <t>教學研究及訓輔支出</t>
  </si>
  <si>
    <t>推廣教育及其他教學支出</t>
    <phoneticPr fontId="1" type="noConversion"/>
  </si>
  <si>
    <t>其他支出</t>
  </si>
  <si>
    <t>(本)年度</t>
    <phoneticPr fontId="3" type="noConversion"/>
  </si>
  <si>
    <t>佔經常門          現金收入%</t>
    <phoneticPr fontId="3" type="noConversion"/>
  </si>
  <si>
    <t>(上)年度</t>
    <phoneticPr fontId="3" type="noConversion"/>
  </si>
  <si>
    <t>佔經常門          現金收入%</t>
  </si>
  <si>
    <t>經常門現金餘(絀)</t>
    <phoneticPr fontId="3" type="noConversion"/>
  </si>
  <si>
    <t>購置不動產現金支出</t>
    <phoneticPr fontId="3" type="noConversion"/>
  </si>
  <si>
    <t>本期現金餘(絀)</t>
    <phoneticPr fontId="3" type="noConversion"/>
  </si>
  <si>
    <t>(本)學年度</t>
    <phoneticPr fontId="1" type="noConversion"/>
  </si>
  <si>
    <t>(上)學年度</t>
    <phoneticPr fontId="1" type="noConversion"/>
  </si>
  <si>
    <t>營運活動現金流量</t>
    <phoneticPr fontId="1" type="noConversion"/>
  </si>
  <si>
    <t xml:space="preserve"> </t>
    <phoneticPr fontId="1" type="noConversion"/>
  </si>
  <si>
    <t>期初現金及銀行存款餘額</t>
  </si>
  <si>
    <t>期末現金及銀行存款餘額</t>
  </si>
  <si>
    <t>金額                       (3)=(1)-(2)</t>
    <phoneticPr fontId="1" type="noConversion"/>
  </si>
  <si>
    <t xml:space="preserve">  ％(4)=(3)/(2)*100</t>
    <phoneticPr fontId="1" type="noConversion"/>
  </si>
  <si>
    <t>　應收款項淨額</t>
    <phoneticPr fontId="1" type="noConversion"/>
  </si>
  <si>
    <t>　房屋及建築</t>
    <phoneticPr fontId="1" type="noConversion"/>
  </si>
  <si>
    <t>　預付土地、工程及設備款</t>
    <phoneticPr fontId="1" type="noConversion"/>
  </si>
  <si>
    <t>資產</t>
    <phoneticPr fontId="1" type="noConversion"/>
  </si>
  <si>
    <t>資產總計</t>
    <phoneticPr fontId="1" type="noConversion"/>
  </si>
  <si>
    <t>　應付退休金及離職金</t>
    <phoneticPr fontId="1" type="noConversion"/>
  </si>
  <si>
    <t>負債、權益基金及餘絀總計</t>
    <phoneticPr fontId="1" type="noConversion"/>
  </si>
  <si>
    <t>本期現金及銀行存款淨流入(出)</t>
    <phoneticPr fontId="1" type="noConversion"/>
  </si>
  <si>
    <t>購置動產、無形資產及其他資產現金支出</t>
    <phoneticPr fontId="3" type="noConversion"/>
  </si>
  <si>
    <t>扣減不動產支出前現金餘(絀)</t>
    <phoneticPr fontId="3" type="noConversion"/>
  </si>
  <si>
    <t>獎助學金支出</t>
    <phoneticPr fontId="1" type="noConversion"/>
  </si>
  <si>
    <t>權益基金</t>
    <phoneticPr fontId="1" type="noConversion"/>
  </si>
  <si>
    <t>權益其他項目</t>
    <phoneticPr fontId="1" type="noConversion"/>
  </si>
  <si>
    <t>權益基金及餘絀</t>
    <phoneticPr fontId="1" type="noConversion"/>
  </si>
  <si>
    <t xml:space="preserve">  金融商品未實現餘絀</t>
    <phoneticPr fontId="1" type="noConversion"/>
  </si>
  <si>
    <t>投資活動現金流量:</t>
    <phoneticPr fontId="1" type="noConversion"/>
  </si>
  <si>
    <t>本期餘絀</t>
    <phoneticPr fontId="1" type="noConversion"/>
  </si>
  <si>
    <t>其他綜合餘絀</t>
    <phoneticPr fontId="1" type="noConversion"/>
  </si>
  <si>
    <t>備供出售金融資產           未實現餘絀</t>
    <phoneticPr fontId="1" type="noConversion"/>
  </si>
  <si>
    <t>本期其他綜合餘絀</t>
    <phoneticPr fontId="1" type="noConversion"/>
  </si>
  <si>
    <t>本期綜合餘絀總額</t>
    <phoneticPr fontId="1" type="noConversion"/>
  </si>
  <si>
    <t xml:space="preserve"> </t>
    <phoneticPr fontId="1" type="noConversion"/>
  </si>
  <si>
    <t xml:space="preserve">  雜項資產</t>
    <phoneticPr fontId="1" type="noConversion"/>
  </si>
  <si>
    <t>(本)年度預算數
(1)</t>
    <phoneticPr fontId="1" type="noConversion"/>
  </si>
  <si>
    <t>(本)年度決算數
(2)</t>
    <phoneticPr fontId="1" type="noConversion"/>
  </si>
  <si>
    <t xml:space="preserve">  推廣教育收入</t>
    <phoneticPr fontId="1" type="noConversion"/>
  </si>
  <si>
    <t>建築物</t>
    <phoneticPr fontId="1" type="noConversion"/>
  </si>
  <si>
    <t>機械儀器及設備</t>
    <phoneticPr fontId="1" type="noConversion"/>
  </si>
  <si>
    <t xml:space="preserve"> 機械儀器設備</t>
    <phoneticPr fontId="1" type="noConversion"/>
  </si>
  <si>
    <t>實驗研究組</t>
    <phoneticPr fontId="1" type="noConversion"/>
  </si>
  <si>
    <t>　　</t>
    <phoneticPr fontId="1" type="noConversion"/>
  </si>
  <si>
    <t>機電科</t>
    <phoneticPr fontId="1" type="noConversion"/>
  </si>
  <si>
    <t>照顧服務科</t>
    <phoneticPr fontId="1" type="noConversion"/>
  </si>
  <si>
    <t>電子科</t>
    <phoneticPr fontId="1" type="noConversion"/>
  </si>
  <si>
    <t>電機科</t>
    <phoneticPr fontId="1" type="noConversion"/>
  </si>
  <si>
    <t>建築科</t>
    <phoneticPr fontId="1" type="noConversion"/>
  </si>
  <si>
    <t>建築製圖科</t>
    <phoneticPr fontId="1" type="noConversion"/>
  </si>
  <si>
    <t>汽車科</t>
    <phoneticPr fontId="1" type="noConversion"/>
  </si>
  <si>
    <t>資訊科</t>
    <phoneticPr fontId="1" type="noConversion"/>
  </si>
  <si>
    <t>觀光事業科</t>
    <phoneticPr fontId="1" type="noConversion"/>
  </si>
  <si>
    <t>廣告設計科</t>
    <phoneticPr fontId="1" type="noConversion"/>
  </si>
  <si>
    <t>電腦教學組</t>
    <phoneticPr fontId="1" type="noConversion"/>
  </si>
  <si>
    <t>綜合高中部</t>
    <phoneticPr fontId="1" type="noConversion"/>
  </si>
  <si>
    <t>資處科</t>
    <phoneticPr fontId="1" type="noConversion"/>
  </si>
  <si>
    <t>餐飲科</t>
    <phoneticPr fontId="1" type="noConversion"/>
  </si>
  <si>
    <t xml:space="preserve"> 雜項設備</t>
    <phoneticPr fontId="1" type="noConversion"/>
  </si>
  <si>
    <t>　　</t>
    <phoneticPr fontId="1" type="noConversion"/>
  </si>
  <si>
    <t xml:space="preserve">        </t>
    <phoneticPr fontId="1" type="noConversion"/>
  </si>
  <si>
    <t>照顧服務科</t>
    <phoneticPr fontId="1" type="noConversion"/>
  </si>
  <si>
    <t>廣告設計科</t>
    <phoneticPr fontId="1" type="noConversion"/>
  </si>
  <si>
    <t>教務處</t>
    <phoneticPr fontId="1" type="noConversion"/>
  </si>
  <si>
    <t>教導處</t>
    <phoneticPr fontId="1" type="noConversion"/>
  </si>
  <si>
    <t>學務處</t>
    <phoneticPr fontId="1" type="noConversion"/>
  </si>
  <si>
    <t>心理輔導室</t>
    <phoneticPr fontId="1" type="noConversion"/>
  </si>
  <si>
    <t>銅樂器</t>
    <phoneticPr fontId="1" type="noConversion"/>
  </si>
  <si>
    <t>實習處</t>
    <phoneticPr fontId="1" type="noConversion"/>
  </si>
  <si>
    <t>行政電腦組</t>
    <phoneticPr fontId="1" type="noConversion"/>
  </si>
  <si>
    <t>教官室</t>
    <phoneticPr fontId="1" type="noConversion"/>
  </si>
  <si>
    <t>中正社大</t>
    <phoneticPr fontId="1" type="noConversion"/>
  </si>
  <si>
    <t>總務處</t>
    <phoneticPr fontId="1" type="noConversion"/>
  </si>
  <si>
    <t>人事室</t>
    <phoneticPr fontId="1" type="noConversion"/>
  </si>
  <si>
    <t>會計室</t>
    <phoneticPr fontId="1" type="noConversion"/>
  </si>
  <si>
    <t>校長室</t>
    <phoneticPr fontId="1" type="noConversion"/>
  </si>
  <si>
    <t>董事會</t>
    <phoneticPr fontId="1" type="noConversion"/>
  </si>
  <si>
    <t>圖書</t>
    <phoneticPr fontId="1" type="noConversion"/>
  </si>
  <si>
    <t>中文</t>
    <phoneticPr fontId="1" type="noConversion"/>
  </si>
  <si>
    <t>英文</t>
    <phoneticPr fontId="1" type="noConversion"/>
  </si>
  <si>
    <t>日文</t>
    <phoneticPr fontId="1" type="noConversion"/>
  </si>
  <si>
    <t>博物</t>
    <phoneticPr fontId="1" type="noConversion"/>
  </si>
  <si>
    <t xml:space="preserve"> 其他設備</t>
    <phoneticPr fontId="1" type="noConversion"/>
  </si>
  <si>
    <t xml:space="preserve"> 圖書及博物</t>
    <phoneticPr fontId="1" type="noConversion"/>
  </si>
  <si>
    <t xml:space="preserve"> 預付土地工程及設備款</t>
    <phoneticPr fontId="1" type="noConversion"/>
  </si>
  <si>
    <t>預付土地款</t>
    <phoneticPr fontId="1" type="noConversion"/>
  </si>
  <si>
    <t>運輸設備</t>
    <phoneticPr fontId="1" type="noConversion"/>
  </si>
  <si>
    <t>消防設備</t>
    <phoneticPr fontId="1" type="noConversion"/>
  </si>
  <si>
    <t>事務設備</t>
    <phoneticPr fontId="1" type="noConversion"/>
  </si>
  <si>
    <t>工友室</t>
    <phoneticPr fontId="1" type="noConversion"/>
  </si>
  <si>
    <t>活動中心</t>
    <phoneticPr fontId="1" type="noConversion"/>
  </si>
  <si>
    <t>合作社</t>
    <phoneticPr fontId="1" type="noConversion"/>
  </si>
  <si>
    <t>警衛室</t>
    <phoneticPr fontId="1" type="noConversion"/>
  </si>
  <si>
    <t>校友服務中心</t>
    <phoneticPr fontId="1" type="noConversion"/>
  </si>
  <si>
    <t>土地(閒置資產)</t>
    <phoneticPr fontId="1" type="noConversion"/>
  </si>
  <si>
    <t>長期應收分期帳款-關係人</t>
    <phoneticPr fontId="1" type="noConversion"/>
  </si>
  <si>
    <t xml:space="preserve"> 存出保證金</t>
    <phoneticPr fontId="1" type="noConversion"/>
  </si>
  <si>
    <t>存出保證金(學校)</t>
    <phoneticPr fontId="1" type="noConversion"/>
  </si>
  <si>
    <t>存出保證金(社大)</t>
    <phoneticPr fontId="1" type="noConversion"/>
  </si>
  <si>
    <t>上年度止 
結存金額</t>
    <phoneticPr fontId="1" type="noConversion"/>
  </si>
  <si>
    <t>本年度購入
增加金額</t>
    <phoneticPr fontId="1" type="noConversion"/>
  </si>
  <si>
    <t xml:space="preserve">本年度
減少金額 </t>
    <phoneticPr fontId="1" type="noConversion"/>
  </si>
  <si>
    <t>本年度調撥
增加金額</t>
    <phoneticPr fontId="1" type="noConversion"/>
  </si>
  <si>
    <t>本年度調撥
減少金額</t>
    <phoneticPr fontId="1" type="noConversion"/>
  </si>
  <si>
    <t xml:space="preserve">備註  </t>
    <phoneticPr fontId="3" type="noConversion"/>
  </si>
  <si>
    <t>比較</t>
    <phoneticPr fontId="3" type="noConversion"/>
  </si>
  <si>
    <t>科目</t>
    <phoneticPr fontId="3" type="noConversion"/>
  </si>
  <si>
    <t>臺北市開南高級中等學校</t>
    <phoneticPr fontId="1" type="noConversion"/>
  </si>
  <si>
    <t xml:space="preserve">臺北市開南高級中等學校     </t>
    <phoneticPr fontId="1" type="noConversion"/>
  </si>
  <si>
    <t>臺北市開南高級中等學校</t>
    <phoneticPr fontId="3" type="noConversion"/>
  </si>
  <si>
    <t>退休撫卹費</t>
    <phoneticPr fontId="1" type="noConversion"/>
  </si>
  <si>
    <t>人事費</t>
    <phoneticPr fontId="1" type="noConversion"/>
  </si>
  <si>
    <t>業務費</t>
    <phoneticPr fontId="1" type="noConversion"/>
  </si>
  <si>
    <t>出席及交通費</t>
    <phoneticPr fontId="1" type="noConversion"/>
  </si>
  <si>
    <t>業務費</t>
    <phoneticPr fontId="3" type="noConversion"/>
  </si>
  <si>
    <t>維護費</t>
    <phoneticPr fontId="3" type="noConversion"/>
  </si>
  <si>
    <t>折舊及攤銷</t>
    <phoneticPr fontId="3" type="noConversion"/>
  </si>
  <si>
    <t>退休撫卹費</t>
    <phoneticPr fontId="1" type="noConversion"/>
  </si>
  <si>
    <t>推廣教育支出</t>
    <phoneticPr fontId="1" type="noConversion"/>
  </si>
  <si>
    <t xml:space="preserve"> 人事費</t>
    <phoneticPr fontId="1" type="noConversion"/>
  </si>
  <si>
    <t xml:space="preserve"> 業務費</t>
    <phoneticPr fontId="1" type="noConversion"/>
  </si>
  <si>
    <t xml:space="preserve"> 維護費</t>
    <phoneticPr fontId="3" type="noConversion"/>
  </si>
  <si>
    <t xml:space="preserve"> 退休撫卹費</t>
    <phoneticPr fontId="1" type="noConversion"/>
  </si>
  <si>
    <t xml:space="preserve"> 折舊及攤銷</t>
    <phoneticPr fontId="3" type="noConversion"/>
  </si>
  <si>
    <t>其他教學支出</t>
    <phoneticPr fontId="1" type="noConversion"/>
  </si>
  <si>
    <t>合計</t>
    <phoneticPr fontId="1" type="noConversion"/>
  </si>
  <si>
    <t>超額年金給付</t>
    <phoneticPr fontId="3" type="noConversion"/>
  </si>
  <si>
    <t>經常門現金收入</t>
    <phoneticPr fontId="3" type="noConversion"/>
  </si>
  <si>
    <t>其他教學活動收入</t>
    <phoneticPr fontId="3" type="noConversion"/>
  </si>
  <si>
    <t>項目</t>
    <phoneticPr fontId="3" type="noConversion"/>
  </si>
  <si>
    <t>學雜費收入</t>
    <phoneticPr fontId="1" type="noConversion"/>
  </si>
  <si>
    <t>推廣教育收入</t>
    <phoneticPr fontId="3" type="noConversion"/>
  </si>
  <si>
    <t>補助及受贈收入</t>
    <phoneticPr fontId="3" type="noConversion"/>
  </si>
  <si>
    <t>財務收入</t>
    <phoneticPr fontId="1" type="noConversion"/>
  </si>
  <si>
    <t>其他收入</t>
    <phoneticPr fontId="1" type="noConversion"/>
  </si>
  <si>
    <t>減:不產生現金流入之收入</t>
    <phoneticPr fontId="1" type="noConversion"/>
  </si>
  <si>
    <t>應收預收項目調整增(減)數</t>
    <phoneticPr fontId="3" type="noConversion"/>
  </si>
  <si>
    <t>利息股利調整數</t>
    <phoneticPr fontId="1" type="noConversion"/>
  </si>
  <si>
    <t xml:space="preserve">  經常門現金收入合計數</t>
    <phoneticPr fontId="3" type="noConversion"/>
  </si>
  <si>
    <t>經常門現金支出</t>
    <phoneticPr fontId="3" type="noConversion"/>
  </si>
  <si>
    <t>董事會支出</t>
    <phoneticPr fontId="1" type="noConversion"/>
  </si>
  <si>
    <t>行政管理支出</t>
    <phoneticPr fontId="1" type="noConversion"/>
  </si>
  <si>
    <t>教學研究及訓輔支出</t>
    <phoneticPr fontId="1" type="noConversion"/>
  </si>
  <si>
    <t>獎助學金支出</t>
    <phoneticPr fontId="1" type="noConversion"/>
  </si>
  <si>
    <t>推廣教育支出</t>
    <phoneticPr fontId="3" type="noConversion"/>
  </si>
  <si>
    <t>其他教學活動支出</t>
    <phoneticPr fontId="3" type="noConversion"/>
  </si>
  <si>
    <t>其他支出</t>
    <phoneticPr fontId="1" type="noConversion"/>
  </si>
  <si>
    <t>減:不產生現金流出之支出</t>
    <phoneticPr fontId="3" type="noConversion"/>
  </si>
  <si>
    <t>應付預付項目調整增(減)數</t>
    <phoneticPr fontId="3" type="noConversion"/>
  </si>
  <si>
    <t xml:space="preserve">  經常門現金支出合計數</t>
    <phoneticPr fontId="3" type="noConversion"/>
  </si>
  <si>
    <t>利息調整數</t>
    <phoneticPr fontId="3" type="noConversion"/>
  </si>
  <si>
    <t>機器儀器及設備</t>
    <phoneticPr fontId="3" type="noConversion"/>
  </si>
  <si>
    <t>圖書及博物</t>
    <phoneticPr fontId="3" type="noConversion"/>
  </si>
  <si>
    <t>其他設備</t>
    <phoneticPr fontId="3" type="noConversion"/>
  </si>
  <si>
    <t xml:space="preserve">  購置動產、無形資產及其他資產現金支出合計</t>
    <phoneticPr fontId="1" type="noConversion"/>
  </si>
  <si>
    <t>房屋及建築</t>
    <phoneticPr fontId="1" type="noConversion"/>
  </si>
  <si>
    <t xml:space="preserve">  購置不動產現金支出合計</t>
    <phoneticPr fontId="1" type="noConversion"/>
  </si>
  <si>
    <t>籌資活動現金流量</t>
    <phoneticPr fontId="1" type="noConversion"/>
  </si>
  <si>
    <t>本期餘(絀)</t>
    <phoneticPr fontId="1" type="noConversion"/>
  </si>
  <si>
    <t>利息股利之調整</t>
    <phoneticPr fontId="1" type="noConversion"/>
  </si>
  <si>
    <t>未計利息股利之本期餘(絀)</t>
    <phoneticPr fontId="1" type="noConversion"/>
  </si>
  <si>
    <t>調整項目</t>
    <phoneticPr fontId="1" type="noConversion"/>
  </si>
  <si>
    <t xml:space="preserve">  加:不產生現金流出之成本與費用</t>
    <phoneticPr fontId="1" type="noConversion"/>
  </si>
  <si>
    <t xml:space="preserve">  減:不產生現金流入之收入</t>
    <phoneticPr fontId="1" type="noConversion"/>
  </si>
  <si>
    <t xml:space="preserve">  流動資產調整項目淨(增)減數</t>
    <phoneticPr fontId="1" type="noConversion"/>
  </si>
  <si>
    <t xml:space="preserve">  流動負債調整項目淨增(減)數</t>
    <phoneticPr fontId="1" type="noConversion"/>
  </si>
  <si>
    <t>未計利息股利之現金流入(出)</t>
    <phoneticPr fontId="1" type="noConversion"/>
  </si>
  <si>
    <t>收取利息</t>
    <phoneticPr fontId="1" type="noConversion"/>
  </si>
  <si>
    <t>收取股利</t>
    <phoneticPr fontId="1" type="noConversion"/>
  </si>
  <si>
    <t>營運活動之現金流入(出)</t>
    <phoneticPr fontId="1" type="noConversion"/>
  </si>
  <si>
    <t>投資活動淨現金流入(出)</t>
    <phoneticPr fontId="1" type="noConversion"/>
  </si>
  <si>
    <t>減少流動金融資產及投資收現數</t>
    <phoneticPr fontId="1" type="noConversion"/>
  </si>
  <si>
    <t>收回存出保證金收現數</t>
    <phoneticPr fontId="1" type="noConversion"/>
  </si>
  <si>
    <t>減少或處分其他投資活動收現數</t>
    <phoneticPr fontId="1" type="noConversion"/>
  </si>
  <si>
    <t>減:增加不動產、房屋及設備付現數</t>
    <phoneticPr fontId="1" type="noConversion"/>
  </si>
  <si>
    <t>增加代收款項收現數</t>
    <phoneticPr fontId="1" type="noConversion"/>
  </si>
  <si>
    <t>收取存入保證金收現數</t>
    <phoneticPr fontId="1" type="noConversion"/>
  </si>
  <si>
    <t>減：減少代收款項付現數</t>
    <phoneticPr fontId="1" type="noConversion"/>
  </si>
  <si>
    <t xml:space="preserve">    退回存入保證金付現數</t>
    <phoneticPr fontId="1" type="noConversion"/>
  </si>
  <si>
    <t>籌資活動淨現金流入(出)</t>
    <phoneticPr fontId="1" type="noConversion"/>
  </si>
  <si>
    <t>出售資產現金收入</t>
    <phoneticPr fontId="3" type="noConversion"/>
  </si>
  <si>
    <t>合計</t>
    <phoneticPr fontId="1" type="noConversion"/>
  </si>
  <si>
    <t>其他收入</t>
    <phoneticPr fontId="1" type="noConversion"/>
  </si>
  <si>
    <t>投資收益</t>
    <phoneticPr fontId="1" type="noConversion"/>
  </si>
  <si>
    <t>利息收入</t>
    <phoneticPr fontId="1" type="noConversion"/>
  </si>
  <si>
    <t>補助收入</t>
    <phoneticPr fontId="1" type="noConversion"/>
  </si>
  <si>
    <t>社大學分費收入</t>
    <phoneticPr fontId="1" type="noConversion"/>
  </si>
  <si>
    <t>其他教學活動收入</t>
    <phoneticPr fontId="1" type="noConversion"/>
  </si>
  <si>
    <t>學費收入</t>
    <phoneticPr fontId="3" type="noConversion"/>
  </si>
  <si>
    <t>雜費收入</t>
    <phoneticPr fontId="3" type="noConversion"/>
  </si>
  <si>
    <t>實習費收入</t>
    <phoneticPr fontId="1" type="noConversion"/>
  </si>
  <si>
    <t>折舊及攤銷</t>
    <phoneticPr fontId="3" type="noConversion"/>
  </si>
  <si>
    <t>折舊及攤銷</t>
    <phoneticPr fontId="1" type="noConversion"/>
  </si>
  <si>
    <t>雜項支出</t>
    <phoneticPr fontId="3" type="noConversion"/>
  </si>
  <si>
    <t>人事室</t>
    <phoneticPr fontId="1" type="noConversion"/>
  </si>
  <si>
    <t>前期差異數</t>
    <phoneticPr fontId="1" type="noConversion"/>
  </si>
  <si>
    <t>期末帳上數</t>
    <phoneticPr fontId="1" type="noConversion"/>
  </si>
  <si>
    <t>期初帳上數</t>
    <phoneticPr fontId="1" type="noConversion"/>
  </si>
  <si>
    <t>減:增加流動金融資產及投資付現數</t>
    <phoneticPr fontId="1" type="noConversion"/>
  </si>
  <si>
    <t>1.董事會預算編列6次，實際召開5次，實際較預算減少$90,000
2.轉型會議預算編列15次，實際召開6次，實際較預算減少$315,000
3.投資會議預算編列5次，實際召開1次，實際較預算減少$140,000</t>
    <phoneticPr fontId="1" type="noConversion"/>
  </si>
  <si>
    <t>108學年度實際增加：
1.三角埔校地估價費用$1,212,706
2.轉型顧問費$800,000</t>
    <phoneticPr fontId="1" type="noConversion"/>
  </si>
  <si>
    <t>1.預算編列磁磚修補300,000元，實際未支用
2.預算編列門窗及玻璃維修預算編列$200,000，實際動用$7,245
3.預算編列飲水機濾心更換及維護$118,000，實際動用$11,700
4.預算編列建築物修繕$680,000，實際動用$547,637</t>
    <phoneticPr fontId="1" type="noConversion"/>
  </si>
  <si>
    <t>預算編列訟訴費200,000元，實際未動用</t>
    <phoneticPr fontId="1" type="noConversion"/>
  </si>
  <si>
    <t>1.預算編列活動中心藍球場修繕$99,000，實際未動用
2.體育組設備修繕預算編列$40,000，實際動用$2,500</t>
    <phoneticPr fontId="1" type="noConversion"/>
  </si>
  <si>
    <t>1.冷氣清洗費預算編列$600,000，實際動用$388,400
2.設備維修預算編列$100,000，實際動用$25,800</t>
    <phoneticPr fontId="1" type="noConversion"/>
  </si>
  <si>
    <t>1.因疫情影響未辦理寒假輔導$586,205
2.第八節預算編列$3,862,100，實際動用$3,083,035，實際較預算減少$779,065
3.補救教學預算編列$1,717,070，實際動用$798,954，實際較預算減少$918,116</t>
    <phoneticPr fontId="1" type="noConversion"/>
  </si>
  <si>
    <t>出售股票投資收益合計$78,147,549
1.國賓飯店$13,831,966
2.中化製藥$23,313,042
3.中國合成$38,441,808
5.訊聯生物 $1,797,789
6.復盛應用   $762,944
現金股利$5,670,434
1.台塑$1,262,790元 
2.和碩$1,615,664元
3.國泰金$1,421,990元
4.富邦金$1,369,990元</t>
    <phoneticPr fontId="1" type="noConversion"/>
  </si>
  <si>
    <t>捐贈收入</t>
    <phoneticPr fontId="1" type="noConversion"/>
  </si>
  <si>
    <t>因疫情影響，未舉辦相關教學活動</t>
    <phoneticPr fontId="1" type="noConversion"/>
  </si>
  <si>
    <t>因辦公室搬遷追加報廢$2,337,623</t>
    <phoneticPr fontId="1" type="noConversion"/>
  </si>
  <si>
    <t>平衡表</t>
    <phoneticPr fontId="1" type="noConversion"/>
  </si>
  <si>
    <t>109年7月31日</t>
    <phoneticPr fontId="1" type="noConversion"/>
  </si>
  <si>
    <t>108學年度</t>
    <phoneticPr fontId="1" type="noConversion"/>
  </si>
  <si>
    <t>收支餘絀計算表</t>
    <phoneticPr fontId="1" type="noConversion"/>
  </si>
  <si>
    <t xml:space="preserve">固定資產及無形資產變動表   </t>
    <phoneticPr fontId="1" type="noConversion"/>
  </si>
  <si>
    <t xml:space="preserve">108學年度  </t>
    <phoneticPr fontId="1" type="noConversion"/>
  </si>
  <si>
    <t>收入明細表</t>
    <phoneticPr fontId="3" type="noConversion"/>
  </si>
  <si>
    <t>108學年度</t>
    <phoneticPr fontId="1" type="noConversion"/>
  </si>
  <si>
    <t>臺北市開南高級中等學校</t>
    <phoneticPr fontId="3" type="noConversion"/>
  </si>
  <si>
    <t>支出明細表</t>
    <phoneticPr fontId="3" type="noConversion"/>
  </si>
  <si>
    <t>108學年度</t>
    <phoneticPr fontId="3" type="noConversion"/>
  </si>
  <si>
    <t>現金收支概況表</t>
    <phoneticPr fontId="3" type="noConversion"/>
  </si>
  <si>
    <t>108學年度</t>
    <phoneticPr fontId="3" type="noConversion"/>
  </si>
  <si>
    <t>現金流量表</t>
    <phoneticPr fontId="1" type="noConversion"/>
  </si>
  <si>
    <t>項目</t>
    <phoneticPr fontId="1" type="noConversion"/>
  </si>
  <si>
    <t>裕益汽車捐贈產學合作中心$5,200,000</t>
    <phoneticPr fontId="1" type="noConversion"/>
  </si>
  <si>
    <t>臺北市開南高級中等學校</t>
    <phoneticPr fontId="1" type="noConversion"/>
  </si>
  <si>
    <t>學生人數減少，學生人次較預算少</t>
    <phoneticPr fontId="1" type="noConversion"/>
  </si>
  <si>
    <t>出售股票投資收益及現金股利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</si>
</sst>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0.00_);[Red]\(0.00\)"/>
    <numFmt numFmtId="178" formatCode="#,##0_ "/>
    <numFmt numFmtId="179" formatCode="#,##0.00_ "/>
    <numFmt numFmtId="180" formatCode="0.00_);\(0.00\)"/>
    <numFmt numFmtId="181" formatCode="#,##0_);[Red]\(#,##0\)"/>
    <numFmt numFmtId="182" formatCode="#,##0.00_);[Red]\(#,##0.00\)"/>
    <numFmt numFmtId="183" formatCode="_-* #,##0.00_-;\-* #,##0.00_-;_-* &quot;-&quot;_-;_-@_-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25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0" xfId="0" applyNumberFormat="1" applyFont="1">
      <alignment vertical="center"/>
    </xf>
    <xf numFmtId="181" fontId="7" fillId="0" borderId="1" xfId="0" applyNumberFormat="1" applyFont="1" applyBorder="1">
      <alignment vertical="center"/>
    </xf>
    <xf numFmtId="181" fontId="7" fillId="0" borderId="1" xfId="0" applyNumberFormat="1" applyFont="1" applyBorder="1" applyAlignment="1">
      <alignment horizontal="center" vertical="center" wrapText="1"/>
    </xf>
    <xf numFmtId="181" fontId="7" fillId="0" borderId="1" xfId="1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177" fontId="7" fillId="0" borderId="17" xfId="0" applyNumberFormat="1" applyFont="1" applyBorder="1">
      <alignment vertical="center"/>
    </xf>
    <xf numFmtId="0" fontId="7" fillId="0" borderId="16" xfId="0" applyFont="1" applyBorder="1" applyAlignment="1">
      <alignment horizontal="left" vertical="top"/>
    </xf>
    <xf numFmtId="0" fontId="7" fillId="0" borderId="18" xfId="0" applyFont="1" applyBorder="1">
      <alignment vertical="center"/>
    </xf>
    <xf numFmtId="181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81" fontId="7" fillId="0" borderId="5" xfId="1" applyNumberFormat="1" applyFont="1" applyFill="1" applyBorder="1">
      <alignment vertical="center"/>
    </xf>
    <xf numFmtId="0" fontId="14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10" fillId="0" borderId="1" xfId="1" applyNumberFormat="1" applyFont="1" applyBorder="1">
      <alignment vertical="center"/>
    </xf>
    <xf numFmtId="176" fontId="10" fillId="0" borderId="17" xfId="1" applyNumberFormat="1" applyFont="1" applyBorder="1">
      <alignment vertical="center"/>
    </xf>
    <xf numFmtId="176" fontId="10" fillId="0" borderId="5" xfId="1" applyNumberFormat="1" applyFont="1" applyFill="1" applyBorder="1">
      <alignment vertical="center"/>
    </xf>
    <xf numFmtId="176" fontId="10" fillId="0" borderId="19" xfId="1" applyNumberFormat="1" applyFont="1" applyBorder="1">
      <alignment vertical="center"/>
    </xf>
    <xf numFmtId="176" fontId="10" fillId="0" borderId="20" xfId="1" applyNumberFormat="1" applyFont="1" applyBorder="1">
      <alignment vertical="center"/>
    </xf>
    <xf numFmtId="0" fontId="14" fillId="0" borderId="16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24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178" fontId="11" fillId="0" borderId="1" xfId="1" applyNumberFormat="1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/>
    </xf>
    <xf numFmtId="181" fontId="11" fillId="0" borderId="1" xfId="1" applyNumberFormat="1" applyFont="1" applyBorder="1" applyAlignment="1">
      <alignment vertical="center"/>
    </xf>
    <xf numFmtId="181" fontId="11" fillId="0" borderId="1" xfId="2" applyNumberFormat="1" applyFont="1" applyBorder="1">
      <alignment vertical="center"/>
    </xf>
    <xf numFmtId="181" fontId="11" fillId="0" borderId="8" xfId="0" applyNumberFormat="1" applyFont="1" applyBorder="1" applyAlignment="1">
      <alignment horizontal="right" vertical="center"/>
    </xf>
    <xf numFmtId="182" fontId="11" fillId="0" borderId="1" xfId="2" applyNumberFormat="1" applyFont="1" applyBorder="1" applyAlignment="1">
      <alignment horizontal="right" vertical="center"/>
    </xf>
    <xf numFmtId="181" fontId="11" fillId="0" borderId="1" xfId="1" applyNumberFormat="1" applyFont="1" applyBorder="1" applyAlignment="1">
      <alignment horizontal="right" vertical="center"/>
    </xf>
    <xf numFmtId="181" fontId="11" fillId="0" borderId="1" xfId="0" applyNumberFormat="1" applyFont="1" applyBorder="1" applyAlignment="1">
      <alignment horizontal="right" vertical="center"/>
    </xf>
    <xf numFmtId="182" fontId="11" fillId="0" borderId="1" xfId="1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4" fontId="16" fillId="0" borderId="17" xfId="1" applyNumberFormat="1" applyFont="1" applyBorder="1" applyAlignment="1">
      <alignment vertical="center"/>
    </xf>
    <xf numFmtId="181" fontId="7" fillId="0" borderId="0" xfId="0" applyNumberFormat="1" applyFont="1" applyBorder="1" applyAlignment="1">
      <alignment horizontal="right" vertical="center"/>
    </xf>
    <xf numFmtId="0" fontId="16" fillId="0" borderId="17" xfId="2" applyFont="1" applyBorder="1" applyAlignment="1">
      <alignment vertical="center" wrapText="1"/>
    </xf>
    <xf numFmtId="181" fontId="11" fillId="0" borderId="19" xfId="1" applyNumberFormat="1" applyFont="1" applyBorder="1" applyAlignment="1">
      <alignment horizontal="right" vertical="center"/>
    </xf>
    <xf numFmtId="181" fontId="11" fillId="0" borderId="19" xfId="2" applyNumberFormat="1" applyFont="1" applyBorder="1" applyAlignment="1">
      <alignment horizontal="right" vertical="center"/>
    </xf>
    <xf numFmtId="182" fontId="11" fillId="0" borderId="19" xfId="2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wrapText="1"/>
    </xf>
    <xf numFmtId="181" fontId="7" fillId="0" borderId="16" xfId="0" applyNumberFormat="1" applyFont="1" applyBorder="1">
      <alignment vertical="center"/>
    </xf>
    <xf numFmtId="177" fontId="11" fillId="0" borderId="17" xfId="0" applyNumberFormat="1" applyFont="1" applyBorder="1">
      <alignment vertical="center"/>
    </xf>
    <xf numFmtId="181" fontId="7" fillId="0" borderId="16" xfId="1" applyNumberFormat="1" applyFont="1" applyBorder="1">
      <alignment vertical="center"/>
    </xf>
    <xf numFmtId="181" fontId="7" fillId="0" borderId="18" xfId="0" applyNumberFormat="1" applyFont="1" applyBorder="1">
      <alignment vertical="center"/>
    </xf>
    <xf numFmtId="0" fontId="7" fillId="0" borderId="19" xfId="0" applyFont="1" applyBorder="1">
      <alignment vertical="center"/>
    </xf>
    <xf numFmtId="177" fontId="11" fillId="0" borderId="20" xfId="0" applyNumberFormat="1" applyFont="1" applyBorder="1">
      <alignment vertical="center"/>
    </xf>
    <xf numFmtId="4" fontId="19" fillId="0" borderId="1" xfId="1" applyNumberFormat="1" applyFont="1" applyBorder="1" applyAlignment="1">
      <alignment horizontal="center" vertical="center"/>
    </xf>
    <xf numFmtId="0" fontId="16" fillId="0" borderId="16" xfId="5" applyFont="1" applyBorder="1">
      <alignment vertical="center"/>
    </xf>
    <xf numFmtId="0" fontId="16" fillId="0" borderId="1" xfId="5" applyFont="1" applyBorder="1">
      <alignment vertical="center"/>
    </xf>
    <xf numFmtId="0" fontId="16" fillId="0" borderId="7" xfId="5" applyFont="1" applyBorder="1" applyAlignment="1">
      <alignment vertical="center"/>
    </xf>
    <xf numFmtId="0" fontId="16" fillId="0" borderId="7" xfId="5" applyFont="1" applyBorder="1">
      <alignment vertical="center"/>
    </xf>
    <xf numFmtId="0" fontId="16" fillId="0" borderId="7" xfId="5" applyFont="1" applyBorder="1" applyAlignment="1">
      <alignment horizontal="left" vertical="center"/>
    </xf>
    <xf numFmtId="181" fontId="11" fillId="0" borderId="1" xfId="5" applyNumberFormat="1" applyFont="1" applyBorder="1">
      <alignment vertical="center"/>
    </xf>
    <xf numFmtId="181" fontId="7" fillId="0" borderId="1" xfId="0" applyNumberFormat="1" applyFont="1" applyBorder="1" applyAlignment="1">
      <alignment horizontal="right" vertical="center"/>
    </xf>
    <xf numFmtId="181" fontId="11" fillId="0" borderId="1" xfId="2" applyNumberFormat="1" applyFont="1" applyBorder="1" applyAlignment="1">
      <alignment horizontal="center" vertical="center"/>
    </xf>
    <xf numFmtId="181" fontId="11" fillId="0" borderId="19" xfId="1" applyNumberFormat="1" applyFont="1" applyBorder="1" applyAlignment="1">
      <alignment vertical="center"/>
    </xf>
    <xf numFmtId="182" fontId="11" fillId="0" borderId="1" xfId="5" applyNumberFormat="1" applyFont="1" applyBorder="1" applyAlignment="1">
      <alignment horizontal="right" vertical="center"/>
    </xf>
    <xf numFmtId="182" fontId="11" fillId="0" borderId="19" xfId="1" applyNumberFormat="1" applyFont="1" applyBorder="1" applyAlignment="1">
      <alignment horizontal="right" vertical="center"/>
    </xf>
    <xf numFmtId="0" fontId="18" fillId="0" borderId="24" xfId="0" applyFont="1" applyBorder="1">
      <alignment vertical="center"/>
    </xf>
    <xf numFmtId="44" fontId="7" fillId="0" borderId="0" xfId="0" applyNumberFormat="1" applyFont="1">
      <alignment vertical="center"/>
    </xf>
    <xf numFmtId="0" fontId="14" fillId="0" borderId="24" xfId="0" quotePrefix="1" applyFont="1" applyBorder="1">
      <alignment vertical="center"/>
    </xf>
    <xf numFmtId="0" fontId="14" fillId="0" borderId="11" xfId="0" quotePrefix="1" applyFont="1" applyBorder="1">
      <alignment vertical="center"/>
    </xf>
    <xf numFmtId="0" fontId="14" fillId="0" borderId="35" xfId="0" quotePrefix="1" applyFont="1" applyBorder="1">
      <alignment vertical="center"/>
    </xf>
    <xf numFmtId="0" fontId="14" fillId="0" borderId="35" xfId="0" quotePrefix="1" applyFont="1" applyBorder="1" applyAlignment="1">
      <alignment horizontal="left" vertical="center"/>
    </xf>
    <xf numFmtId="0" fontId="14" fillId="0" borderId="37" xfId="0" quotePrefix="1" applyFont="1" applyBorder="1">
      <alignment vertical="center"/>
    </xf>
    <xf numFmtId="0" fontId="14" fillId="0" borderId="38" xfId="0" quotePrefix="1" applyFont="1" applyBorder="1">
      <alignment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81" fontId="7" fillId="0" borderId="11" xfId="0" applyNumberFormat="1" applyFont="1" applyBorder="1">
      <alignment vertical="center"/>
    </xf>
    <xf numFmtId="181" fontId="7" fillId="0" borderId="38" xfId="0" applyNumberFormat="1" applyFont="1" applyBorder="1">
      <alignment vertical="center"/>
    </xf>
    <xf numFmtId="182" fontId="7" fillId="0" borderId="36" xfId="0" applyNumberFormat="1" applyFont="1" applyBorder="1">
      <alignment vertical="center"/>
    </xf>
    <xf numFmtId="182" fontId="7" fillId="0" borderId="40" xfId="0" applyNumberFormat="1" applyFont="1" applyBorder="1">
      <alignment vertical="center"/>
    </xf>
    <xf numFmtId="181" fontId="7" fillId="0" borderId="5" xfId="1" applyNumberFormat="1" applyFont="1" applyBorder="1">
      <alignment vertical="center"/>
    </xf>
    <xf numFmtId="181" fontId="7" fillId="0" borderId="8" xfId="1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181" fontId="7" fillId="0" borderId="36" xfId="1" applyNumberFormat="1" applyFont="1" applyBorder="1">
      <alignment vertical="center"/>
    </xf>
    <xf numFmtId="0" fontId="7" fillId="0" borderId="44" xfId="0" applyFont="1" applyBorder="1">
      <alignment vertical="center"/>
    </xf>
    <xf numFmtId="181" fontId="7" fillId="0" borderId="39" xfId="1" applyNumberFormat="1" applyFont="1" applyBorder="1">
      <alignment vertical="center"/>
    </xf>
    <xf numFmtId="181" fontId="7" fillId="0" borderId="40" xfId="1" applyNumberFormat="1" applyFont="1" applyBorder="1">
      <alignment vertical="center"/>
    </xf>
    <xf numFmtId="0" fontId="18" fillId="0" borderId="15" xfId="0" applyFont="1" applyBorder="1">
      <alignment vertical="center"/>
    </xf>
    <xf numFmtId="0" fontId="18" fillId="0" borderId="35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5" xfId="0" applyFont="1" applyBorder="1">
      <alignment vertical="center"/>
    </xf>
    <xf numFmtId="0" fontId="18" fillId="0" borderId="32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181" fontId="7" fillId="0" borderId="5" xfId="0" applyNumberFormat="1" applyFont="1" applyBorder="1" applyAlignment="1">
      <alignment vertical="center"/>
    </xf>
    <xf numFmtId="181" fontId="7" fillId="0" borderId="43" xfId="1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81" fontId="7" fillId="0" borderId="5" xfId="1" applyNumberFormat="1" applyFont="1" applyBorder="1" applyAlignment="1">
      <alignment vertical="center"/>
    </xf>
    <xf numFmtId="181" fontId="7" fillId="0" borderId="36" xfId="1" applyNumberFormat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0" fontId="7" fillId="0" borderId="24" xfId="0" applyFont="1" applyBorder="1" applyAlignment="1">
      <alignment vertical="center"/>
    </xf>
    <xf numFmtId="181" fontId="7" fillId="0" borderId="8" xfId="1" applyNumberFormat="1" applyFont="1" applyBorder="1" applyAlignment="1">
      <alignment vertical="center"/>
    </xf>
    <xf numFmtId="181" fontId="7" fillId="0" borderId="10" xfId="1" applyNumberFormat="1" applyFont="1" applyBorder="1" applyAlignment="1">
      <alignment vertical="center"/>
    </xf>
    <xf numFmtId="181" fontId="7" fillId="0" borderId="10" xfId="1" applyNumberFormat="1" applyFont="1" applyBorder="1">
      <alignment vertical="center"/>
    </xf>
    <xf numFmtId="41" fontId="7" fillId="0" borderId="11" xfId="0" applyNumberFormat="1" applyFont="1" applyBorder="1">
      <alignment vertical="center"/>
    </xf>
    <xf numFmtId="41" fontId="7" fillId="0" borderId="36" xfId="0" applyNumberFormat="1" applyFont="1" applyBorder="1">
      <alignment vertical="center"/>
    </xf>
    <xf numFmtId="181" fontId="7" fillId="0" borderId="31" xfId="0" applyNumberFormat="1" applyFont="1" applyBorder="1">
      <alignment vertical="center"/>
    </xf>
    <xf numFmtId="182" fontId="7" fillId="0" borderId="10" xfId="0" applyNumberFormat="1" applyFont="1" applyBorder="1">
      <alignment vertical="center"/>
    </xf>
    <xf numFmtId="41" fontId="7" fillId="0" borderId="12" xfId="0" applyNumberFormat="1" applyFont="1" applyBorder="1">
      <alignment vertical="center"/>
    </xf>
    <xf numFmtId="41" fontId="7" fillId="0" borderId="10" xfId="0" applyNumberFormat="1" applyFont="1" applyBorder="1">
      <alignment vertical="center"/>
    </xf>
    <xf numFmtId="0" fontId="11" fillId="0" borderId="29" xfId="0" applyFont="1" applyBorder="1" applyAlignment="1">
      <alignment horizontal="center" vertical="center" wrapText="1"/>
    </xf>
    <xf numFmtId="182" fontId="7" fillId="0" borderId="11" xfId="0" applyNumberFormat="1" applyFont="1" applyBorder="1">
      <alignment vertical="center"/>
    </xf>
    <xf numFmtId="182" fontId="7" fillId="0" borderId="38" xfId="0" applyNumberFormat="1" applyFont="1" applyBorder="1">
      <alignment vertical="center"/>
    </xf>
    <xf numFmtId="0" fontId="11" fillId="0" borderId="42" xfId="0" applyFont="1" applyBorder="1" applyAlignment="1">
      <alignment horizontal="center" vertical="center" wrapText="1"/>
    </xf>
    <xf numFmtId="181" fontId="7" fillId="0" borderId="24" xfId="0" applyNumberFormat="1" applyFont="1" applyBorder="1">
      <alignment vertical="center"/>
    </xf>
    <xf numFmtId="41" fontId="7" fillId="0" borderId="24" xfId="0" applyNumberFormat="1" applyFont="1" applyBorder="1">
      <alignment vertical="center"/>
    </xf>
    <xf numFmtId="41" fontId="7" fillId="0" borderId="28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2" fontId="7" fillId="0" borderId="17" xfId="0" applyNumberFormat="1" applyFont="1" applyBorder="1">
      <alignment vertical="center"/>
    </xf>
    <xf numFmtId="0" fontId="16" fillId="0" borderId="7" xfId="2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181" fontId="11" fillId="0" borderId="1" xfId="5" applyNumberFormat="1" applyFont="1" applyBorder="1" applyAlignment="1">
      <alignment vertical="center"/>
    </xf>
    <xf numFmtId="181" fontId="11" fillId="0" borderId="1" xfId="2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82" fontId="11" fillId="0" borderId="1" xfId="0" applyNumberFormat="1" applyFont="1" applyBorder="1" applyAlignment="1">
      <alignment horizontal="right" vertical="center"/>
    </xf>
    <xf numFmtId="181" fontId="11" fillId="0" borderId="19" xfId="2" applyNumberFormat="1" applyFont="1" applyBorder="1" applyAlignment="1">
      <alignment vertical="center"/>
    </xf>
    <xf numFmtId="4" fontId="16" fillId="0" borderId="17" xfId="3" applyNumberFormat="1" applyFont="1" applyBorder="1" applyAlignment="1">
      <alignment horizontal="center" vertical="center"/>
    </xf>
    <xf numFmtId="0" fontId="16" fillId="0" borderId="20" xfId="2" applyFont="1" applyBorder="1" applyAlignment="1">
      <alignment vertical="center"/>
    </xf>
    <xf numFmtId="176" fontId="11" fillId="0" borderId="2" xfId="1" applyNumberFormat="1" applyFont="1" applyBorder="1" applyAlignment="1">
      <alignment horizontal="center" vertical="center" wrapText="1"/>
    </xf>
    <xf numFmtId="176" fontId="10" fillId="0" borderId="7" xfId="1" applyNumberFormat="1" applyFont="1" applyBorder="1">
      <alignment vertical="center"/>
    </xf>
    <xf numFmtId="176" fontId="10" fillId="0" borderId="34" xfId="1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76" fontId="10" fillId="0" borderId="7" xfId="1" applyNumberFormat="1" applyFont="1" applyFill="1" applyBorder="1">
      <alignment vertical="center"/>
    </xf>
    <xf numFmtId="176" fontId="10" fillId="0" borderId="1" xfId="1" applyNumberFormat="1" applyFont="1" applyFill="1" applyBorder="1">
      <alignment vertical="center"/>
    </xf>
    <xf numFmtId="176" fontId="10" fillId="0" borderId="17" xfId="1" applyNumberFormat="1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176" fontId="21" fillId="0" borderId="17" xfId="1" applyNumberFormat="1" applyFont="1" applyBorder="1">
      <alignment vertical="center"/>
    </xf>
    <xf numFmtId="176" fontId="21" fillId="0" borderId="17" xfId="1" applyNumberFormat="1" applyFont="1" applyBorder="1" applyAlignment="1">
      <alignment horizontal="center" vertical="center"/>
    </xf>
    <xf numFmtId="176" fontId="21" fillId="2" borderId="17" xfId="1" applyNumberFormat="1" applyFont="1" applyFill="1" applyBorder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24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0" fontId="20" fillId="0" borderId="7" xfId="0" applyFont="1" applyFill="1" applyBorder="1">
      <alignment vertical="center"/>
    </xf>
    <xf numFmtId="176" fontId="21" fillId="0" borderId="1" xfId="1" applyNumberFormat="1" applyFont="1" applyFill="1" applyBorder="1">
      <alignment vertical="center"/>
    </xf>
    <xf numFmtId="176" fontId="21" fillId="0" borderId="7" xfId="1" applyNumberFormat="1" applyFont="1" applyFill="1" applyBorder="1">
      <alignment vertical="center"/>
    </xf>
    <xf numFmtId="176" fontId="21" fillId="0" borderId="17" xfId="1" applyNumberFormat="1" applyFont="1" applyFill="1" applyBorder="1">
      <alignment vertical="center"/>
    </xf>
    <xf numFmtId="181" fontId="7" fillId="0" borderId="11" xfId="0" applyNumberFormat="1" applyFont="1" applyFill="1" applyBorder="1">
      <alignment vertical="center"/>
    </xf>
    <xf numFmtId="41" fontId="7" fillId="0" borderId="11" xfId="0" applyNumberFormat="1" applyFont="1" applyFill="1" applyBorder="1">
      <alignment vertical="center"/>
    </xf>
    <xf numFmtId="181" fontId="7" fillId="0" borderId="12" xfId="0" applyNumberFormat="1" applyFont="1" applyFill="1" applyBorder="1">
      <alignment vertical="center"/>
    </xf>
    <xf numFmtId="181" fontId="7" fillId="0" borderId="6" xfId="0" applyNumberFormat="1" applyFont="1" applyFill="1" applyBorder="1">
      <alignment vertical="center"/>
    </xf>
    <xf numFmtId="41" fontId="7" fillId="0" borderId="23" xfId="0" applyNumberFormat="1" applyFont="1" applyBorder="1">
      <alignment vertical="center"/>
    </xf>
    <xf numFmtId="41" fontId="7" fillId="0" borderId="17" xfId="0" applyNumberFormat="1" applyFont="1" applyBorder="1">
      <alignment vertical="center"/>
    </xf>
    <xf numFmtId="181" fontId="11" fillId="0" borderId="1" xfId="5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>
      <alignment vertical="center"/>
    </xf>
    <xf numFmtId="181" fontId="7" fillId="0" borderId="1" xfId="1" applyNumberFormat="1" applyFont="1" applyFill="1" applyBorder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4" fontId="16" fillId="0" borderId="17" xfId="1" applyNumberFormat="1" applyFont="1" applyFill="1" applyBorder="1" applyAlignment="1">
      <alignment vertical="center" wrapText="1"/>
    </xf>
    <xf numFmtId="4" fontId="14" fillId="0" borderId="17" xfId="1" applyNumberFormat="1" applyFont="1" applyFill="1" applyBorder="1" applyAlignment="1">
      <alignment vertical="center" wrapText="1"/>
    </xf>
    <xf numFmtId="4" fontId="10" fillId="0" borderId="17" xfId="1" applyNumberFormat="1" applyFont="1" applyFill="1" applyBorder="1" applyAlignment="1">
      <alignment vertical="center" wrapText="1"/>
    </xf>
    <xf numFmtId="181" fontId="7" fillId="0" borderId="0" xfId="0" applyNumberFormat="1" applyFont="1">
      <alignment vertical="center"/>
    </xf>
    <xf numFmtId="0" fontId="16" fillId="0" borderId="23" xfId="5" applyFont="1" applyBorder="1">
      <alignment vertical="center"/>
    </xf>
    <xf numFmtId="0" fontId="7" fillId="0" borderId="23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4" fillId="0" borderId="23" xfId="0" applyFont="1" applyBorder="1">
      <alignment vertical="center"/>
    </xf>
    <xf numFmtId="181" fontId="7" fillId="0" borderId="23" xfId="0" applyNumberFormat="1" applyFont="1" applyBorder="1">
      <alignment vertical="center"/>
    </xf>
    <xf numFmtId="181" fontId="7" fillId="0" borderId="6" xfId="0" applyNumberFormat="1" applyFont="1" applyBorder="1">
      <alignment vertical="center"/>
    </xf>
    <xf numFmtId="182" fontId="7" fillId="0" borderId="6" xfId="0" applyNumberFormat="1" applyFont="1" applyBorder="1">
      <alignment vertical="center"/>
    </xf>
    <xf numFmtId="183" fontId="7" fillId="0" borderId="12" xfId="0" applyNumberFormat="1" applyFont="1" applyBorder="1">
      <alignment vertical="center"/>
    </xf>
    <xf numFmtId="181" fontId="7" fillId="3" borderId="1" xfId="1" applyNumberFormat="1" applyFont="1" applyFill="1" applyBorder="1">
      <alignment vertical="center"/>
    </xf>
    <xf numFmtId="181" fontId="7" fillId="0" borderId="1" xfId="1" applyNumberFormat="1" applyFont="1" applyBorder="1" applyAlignment="1">
      <alignment horizontal="right" vertical="center"/>
    </xf>
    <xf numFmtId="181" fontId="7" fillId="0" borderId="19" xfId="0" applyNumberFormat="1" applyFont="1" applyBorder="1" applyAlignment="1">
      <alignment horizontal="right" vertical="center"/>
    </xf>
    <xf numFmtId="0" fontId="14" fillId="0" borderId="17" xfId="5" applyFont="1" applyBorder="1">
      <alignment vertical="center"/>
    </xf>
    <xf numFmtId="0" fontId="14" fillId="0" borderId="17" xfId="5" applyFont="1" applyFill="1" applyBorder="1" applyAlignment="1">
      <alignment vertical="center" wrapText="1"/>
    </xf>
    <xf numFmtId="0" fontId="14" fillId="0" borderId="17" xfId="5" applyFont="1" applyBorder="1" applyAlignment="1">
      <alignment vertical="center" wrapText="1"/>
    </xf>
    <xf numFmtId="181" fontId="14" fillId="0" borderId="17" xfId="5" applyNumberFormat="1" applyFont="1" applyBorder="1">
      <alignment vertical="center"/>
    </xf>
    <xf numFmtId="0" fontId="14" fillId="0" borderId="20" xfId="5" applyFont="1" applyBorder="1">
      <alignment vertical="center"/>
    </xf>
    <xf numFmtId="4" fontId="16" fillId="0" borderId="17" xfId="1" applyNumberFormat="1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6" fillId="0" borderId="33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3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5" fillId="0" borderId="41" xfId="4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</cellXfs>
  <cellStyles count="6">
    <cellStyle name="一般" xfId="0" builtinId="0"/>
    <cellStyle name="一般_支出" xfId="5"/>
    <cellStyle name="一般_支出明細表" xfId="4"/>
    <cellStyle name="一般_收入" xfId="2"/>
    <cellStyle name="一般_收入明細表" xfId="3"/>
    <cellStyle name="千分位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B8" sqref="B8"/>
    </sheetView>
  </sheetViews>
  <sheetFormatPr defaultColWidth="8.75" defaultRowHeight="16.5"/>
  <cols>
    <col min="1" max="1" width="29.5" style="3" customWidth="1"/>
    <col min="2" max="2" width="17.5" style="3" customWidth="1"/>
    <col min="3" max="3" width="17.125" style="3" customWidth="1"/>
    <col min="4" max="4" width="17.5" style="3" bestFit="1" customWidth="1"/>
    <col min="5" max="5" width="15.75" style="3" customWidth="1"/>
    <col min="6" max="7" width="8.75" style="3"/>
    <col min="8" max="8" width="31.625" style="3" bestFit="1" customWidth="1"/>
    <col min="9" max="9" width="26.625" style="3" bestFit="1" customWidth="1"/>
    <col min="10" max="10" width="33.875" style="3" bestFit="1" customWidth="1"/>
    <col min="11" max="11" width="15" style="3" bestFit="1" customWidth="1"/>
    <col min="12" max="16384" width="8.75" style="3"/>
  </cols>
  <sheetData>
    <row r="1" spans="1:11" s="1" customFormat="1" ht="15.75" customHeight="1">
      <c r="A1" s="193" t="s">
        <v>317</v>
      </c>
      <c r="B1" s="194"/>
      <c r="C1" s="194"/>
      <c r="D1" s="194"/>
      <c r="E1" s="194"/>
    </row>
    <row r="2" spans="1:11" s="1" customFormat="1" ht="15.75" customHeight="1">
      <c r="A2" s="193" t="s">
        <v>301</v>
      </c>
      <c r="B2" s="193"/>
      <c r="C2" s="193"/>
      <c r="D2" s="193"/>
      <c r="E2" s="193"/>
    </row>
    <row r="3" spans="1:11" s="1" customFormat="1" ht="15.75" customHeight="1" thickBot="1">
      <c r="A3" s="206" t="s">
        <v>302</v>
      </c>
      <c r="B3" s="206"/>
      <c r="C3" s="206"/>
      <c r="D3" s="206"/>
      <c r="E3" s="206"/>
    </row>
    <row r="4" spans="1:11" s="2" customFormat="1" ht="15.75" customHeight="1">
      <c r="A4" s="201" t="s">
        <v>125</v>
      </c>
      <c r="B4" s="203" t="s">
        <v>22</v>
      </c>
      <c r="C4" s="203" t="s">
        <v>23</v>
      </c>
      <c r="D4" s="195" t="s">
        <v>21</v>
      </c>
      <c r="E4" s="196"/>
    </row>
    <row r="5" spans="1:11" s="2" customFormat="1" ht="15.75" customHeight="1">
      <c r="A5" s="202"/>
      <c r="B5" s="204"/>
      <c r="C5" s="205"/>
      <c r="D5" s="197" t="s">
        <v>102</v>
      </c>
      <c r="E5" s="199" t="s">
        <v>103</v>
      </c>
      <c r="G5" s="3"/>
      <c r="H5" s="3"/>
      <c r="I5" s="3"/>
      <c r="J5" s="3"/>
      <c r="K5" s="3"/>
    </row>
    <row r="6" spans="1:11" ht="15.75" customHeight="1">
      <c r="A6" s="202"/>
      <c r="B6" s="205"/>
      <c r="C6" s="205"/>
      <c r="D6" s="198"/>
      <c r="E6" s="200"/>
    </row>
    <row r="7" spans="1:11" ht="20.100000000000001" customHeight="1">
      <c r="A7" s="10" t="s">
        <v>107</v>
      </c>
      <c r="B7" s="7"/>
      <c r="C7" s="7"/>
      <c r="D7" s="8"/>
      <c r="E7" s="11"/>
      <c r="H7" s="6"/>
      <c r="I7" s="6"/>
      <c r="J7" s="6"/>
    </row>
    <row r="8" spans="1:11" ht="20.100000000000001" customHeight="1">
      <c r="A8" s="10" t="s">
        <v>0</v>
      </c>
      <c r="B8" s="66">
        <f>SUM(B9:B12)</f>
        <v>1727184111</v>
      </c>
      <c r="C8" s="66">
        <f>SUM(C9:C12)</f>
        <v>1767593411</v>
      </c>
      <c r="D8" s="7">
        <f>B8-C8</f>
        <v>-40409300</v>
      </c>
      <c r="E8" s="12">
        <f>D8/C8*100</f>
        <v>-2.28611963297254</v>
      </c>
      <c r="H8" s="6"/>
      <c r="I8" s="6"/>
      <c r="J8" s="6"/>
    </row>
    <row r="9" spans="1:11" ht="20.100000000000001" customHeight="1">
      <c r="A9" s="10" t="s">
        <v>1</v>
      </c>
      <c r="B9" s="66">
        <v>237345</v>
      </c>
      <c r="C9" s="66">
        <v>256484</v>
      </c>
      <c r="D9" s="7">
        <f t="shared" ref="D9:D43" si="0">B9-C9</f>
        <v>-19139</v>
      </c>
      <c r="E9" s="12">
        <f t="shared" ref="E9:E43" si="1">D9/C9*100</f>
        <v>-7.4620639104193627</v>
      </c>
      <c r="H9" s="6"/>
      <c r="I9" s="6"/>
      <c r="J9" s="6"/>
    </row>
    <row r="10" spans="1:11" ht="20.100000000000001" customHeight="1">
      <c r="A10" s="10" t="s">
        <v>2</v>
      </c>
      <c r="B10" s="66">
        <v>1718691211</v>
      </c>
      <c r="C10" s="66">
        <v>1754335750</v>
      </c>
      <c r="D10" s="7">
        <f t="shared" si="0"/>
        <v>-35644539</v>
      </c>
      <c r="E10" s="12">
        <f t="shared" si="1"/>
        <v>-2.0317968781061437</v>
      </c>
      <c r="H10" s="6"/>
      <c r="I10" s="6"/>
      <c r="J10" s="6"/>
    </row>
    <row r="11" spans="1:11" ht="20.100000000000001" customHeight="1">
      <c r="A11" s="10" t="s">
        <v>104</v>
      </c>
      <c r="B11" s="66">
        <v>8169295</v>
      </c>
      <c r="C11" s="66">
        <v>9977057</v>
      </c>
      <c r="D11" s="7">
        <f t="shared" si="0"/>
        <v>-1807762</v>
      </c>
      <c r="E11" s="12">
        <f t="shared" si="1"/>
        <v>-18.119190859589153</v>
      </c>
      <c r="H11" s="6"/>
      <c r="I11" s="6"/>
      <c r="J11" s="6"/>
    </row>
    <row r="12" spans="1:11" ht="20.100000000000001" customHeight="1">
      <c r="A12" s="10" t="s">
        <v>3</v>
      </c>
      <c r="B12" s="66">
        <v>86260</v>
      </c>
      <c r="C12" s="66">
        <v>3024120</v>
      </c>
      <c r="D12" s="7">
        <f t="shared" si="0"/>
        <v>-2937860</v>
      </c>
      <c r="E12" s="12">
        <f t="shared" si="1"/>
        <v>-97.147599962964435</v>
      </c>
    </row>
    <row r="13" spans="1:11" ht="20.100000000000001" customHeight="1">
      <c r="A13" s="10" t="s">
        <v>4</v>
      </c>
      <c r="B13" s="66">
        <f>B14+B15</f>
        <v>346767158</v>
      </c>
      <c r="C13" s="66">
        <f>C14+C15</f>
        <v>100300775</v>
      </c>
      <c r="D13" s="7">
        <f t="shared" si="0"/>
        <v>246466383</v>
      </c>
      <c r="E13" s="12">
        <f t="shared" si="1"/>
        <v>245.72729672328055</v>
      </c>
      <c r="H13" s="6"/>
      <c r="I13" s="6"/>
      <c r="J13" s="6"/>
    </row>
    <row r="14" spans="1:11" ht="20.100000000000001" customHeight="1">
      <c r="A14" s="10" t="s">
        <v>5</v>
      </c>
      <c r="B14" s="66">
        <v>333050414</v>
      </c>
      <c r="C14" s="66">
        <v>86584031</v>
      </c>
      <c r="D14" s="7">
        <f t="shared" si="0"/>
        <v>246466383</v>
      </c>
      <c r="E14" s="12">
        <f t="shared" si="1"/>
        <v>284.65570400620408</v>
      </c>
      <c r="H14" s="6"/>
      <c r="I14" s="6"/>
      <c r="J14" s="6"/>
    </row>
    <row r="15" spans="1:11" ht="20.100000000000001" customHeight="1">
      <c r="A15" s="10" t="s">
        <v>6</v>
      </c>
      <c r="B15" s="66">
        <v>13716744</v>
      </c>
      <c r="C15" s="66">
        <v>13716744</v>
      </c>
      <c r="D15" s="7">
        <f t="shared" si="0"/>
        <v>0</v>
      </c>
      <c r="E15" s="12">
        <f t="shared" si="1"/>
        <v>0</v>
      </c>
      <c r="H15" s="6"/>
      <c r="I15" s="6"/>
      <c r="J15" s="6"/>
    </row>
    <row r="16" spans="1:11" ht="20.100000000000001" customHeight="1">
      <c r="A16" s="10" t="s">
        <v>7</v>
      </c>
      <c r="B16" s="66">
        <f>SUM(B17:B21)</f>
        <v>333940779</v>
      </c>
      <c r="C16" s="66">
        <f>SUM(C17:C21)</f>
        <v>340760700</v>
      </c>
      <c r="D16" s="7">
        <f t="shared" si="0"/>
        <v>-6819921</v>
      </c>
      <c r="E16" s="12">
        <f t="shared" si="1"/>
        <v>-2.0013813212615186</v>
      </c>
    </row>
    <row r="17" spans="1:10" ht="20.100000000000001" customHeight="1">
      <c r="A17" s="10" t="s">
        <v>105</v>
      </c>
      <c r="B17" s="66">
        <v>193590216</v>
      </c>
      <c r="C17" s="66">
        <v>191276474</v>
      </c>
      <c r="D17" s="7">
        <f t="shared" si="0"/>
        <v>2313742</v>
      </c>
      <c r="E17" s="12">
        <f t="shared" si="1"/>
        <v>1.209632293828252</v>
      </c>
      <c r="H17" s="6"/>
      <c r="I17" s="6"/>
      <c r="J17" s="6"/>
    </row>
    <row r="18" spans="1:10" ht="20.100000000000001" customHeight="1">
      <c r="A18" s="10" t="s">
        <v>8</v>
      </c>
      <c r="B18" s="66">
        <v>115189250</v>
      </c>
      <c r="C18" s="66">
        <v>121192709</v>
      </c>
      <c r="D18" s="7">
        <f t="shared" si="0"/>
        <v>-6003459</v>
      </c>
      <c r="E18" s="12">
        <f t="shared" si="1"/>
        <v>-4.9536470052831314</v>
      </c>
      <c r="H18" s="6"/>
      <c r="I18" s="6"/>
      <c r="J18" s="6"/>
    </row>
    <row r="19" spans="1:10" ht="20.100000000000001" customHeight="1">
      <c r="A19" s="10" t="s">
        <v>9</v>
      </c>
      <c r="B19" s="66">
        <v>2535397</v>
      </c>
      <c r="C19" s="66">
        <v>2523538</v>
      </c>
      <c r="D19" s="7">
        <f t="shared" si="0"/>
        <v>11859</v>
      </c>
      <c r="E19" s="12">
        <f t="shared" si="1"/>
        <v>0.46993546362289768</v>
      </c>
      <c r="H19" s="6"/>
      <c r="I19" s="6"/>
      <c r="J19" s="6"/>
    </row>
    <row r="20" spans="1:10" ht="20.100000000000001" customHeight="1">
      <c r="A20" s="10" t="s">
        <v>10</v>
      </c>
      <c r="B20" s="66">
        <v>20231639</v>
      </c>
      <c r="C20" s="66">
        <v>23373702</v>
      </c>
      <c r="D20" s="7">
        <f t="shared" si="0"/>
        <v>-3142063</v>
      </c>
      <c r="E20" s="12">
        <f t="shared" si="1"/>
        <v>-13.442727215397888</v>
      </c>
      <c r="H20" s="6"/>
      <c r="I20" s="6"/>
      <c r="J20" s="6"/>
    </row>
    <row r="21" spans="1:10" ht="20.100000000000001" customHeight="1">
      <c r="A21" s="10" t="s">
        <v>106</v>
      </c>
      <c r="B21" s="66">
        <v>2394277</v>
      </c>
      <c r="C21" s="66">
        <v>2394277</v>
      </c>
      <c r="D21" s="7">
        <f t="shared" si="0"/>
        <v>0</v>
      </c>
      <c r="E21" s="12">
        <f t="shared" si="1"/>
        <v>0</v>
      </c>
      <c r="H21" s="6"/>
      <c r="I21" s="6"/>
    </row>
    <row r="22" spans="1:10" ht="20.100000000000001" customHeight="1">
      <c r="A22" s="10" t="s">
        <v>24</v>
      </c>
      <c r="B22" s="66">
        <f>SUM(B23:B25)</f>
        <v>113971492</v>
      </c>
      <c r="C22" s="66">
        <f>SUM(C23:C25)</f>
        <v>343971492</v>
      </c>
      <c r="D22" s="7">
        <f t="shared" si="0"/>
        <v>-230000000</v>
      </c>
      <c r="E22" s="12">
        <f t="shared" si="1"/>
        <v>-66.866006442185039</v>
      </c>
      <c r="H22" s="6"/>
      <c r="I22" s="6"/>
      <c r="J22" s="6"/>
    </row>
    <row r="23" spans="1:10" ht="20.100000000000001" customHeight="1">
      <c r="A23" s="10" t="s">
        <v>11</v>
      </c>
      <c r="B23" s="66">
        <v>345100</v>
      </c>
      <c r="C23" s="66">
        <v>345100</v>
      </c>
      <c r="D23" s="7">
        <f t="shared" si="0"/>
        <v>0</v>
      </c>
      <c r="E23" s="12">
        <f t="shared" si="1"/>
        <v>0</v>
      </c>
      <c r="H23" s="6"/>
      <c r="I23" s="6"/>
      <c r="J23" s="6"/>
    </row>
    <row r="24" spans="1:10" ht="20.100000000000001" customHeight="1">
      <c r="A24" s="10" t="s">
        <v>26</v>
      </c>
      <c r="B24" s="66">
        <v>113626392</v>
      </c>
      <c r="C24" s="66">
        <v>113626392</v>
      </c>
      <c r="D24" s="7">
        <f t="shared" si="0"/>
        <v>0</v>
      </c>
      <c r="E24" s="12">
        <f t="shared" si="1"/>
        <v>0</v>
      </c>
    </row>
    <row r="25" spans="1:10" ht="20.100000000000001" customHeight="1">
      <c r="A25" s="10" t="s">
        <v>126</v>
      </c>
      <c r="B25" s="66">
        <v>0</v>
      </c>
      <c r="C25" s="66">
        <v>230000000</v>
      </c>
      <c r="D25" s="7">
        <f t="shared" si="0"/>
        <v>-230000000</v>
      </c>
      <c r="E25" s="12">
        <f t="shared" si="1"/>
        <v>-100</v>
      </c>
      <c r="H25" s="6"/>
      <c r="I25" s="6"/>
      <c r="J25" s="6"/>
    </row>
    <row r="26" spans="1:10" ht="20.100000000000001" customHeight="1">
      <c r="A26" s="10" t="s">
        <v>108</v>
      </c>
      <c r="B26" s="66">
        <f>B8+B13+B16+B22</f>
        <v>2521863540</v>
      </c>
      <c r="C26" s="66">
        <f>C8+C13+C16+C22</f>
        <v>2552626378</v>
      </c>
      <c r="D26" s="7">
        <f t="shared" si="0"/>
        <v>-30762838</v>
      </c>
      <c r="E26" s="12">
        <f t="shared" si="1"/>
        <v>-1.2051445626799051</v>
      </c>
      <c r="H26" s="6"/>
      <c r="I26" s="6"/>
    </row>
    <row r="27" spans="1:10" ht="20.100000000000001" customHeight="1">
      <c r="A27" s="10" t="s">
        <v>25</v>
      </c>
      <c r="B27" s="66">
        <f>B28+B32</f>
        <v>104208564</v>
      </c>
      <c r="C27" s="66">
        <f>C28+C32</f>
        <v>105035008</v>
      </c>
      <c r="D27" s="7">
        <f t="shared" si="0"/>
        <v>-826444</v>
      </c>
      <c r="E27" s="12">
        <f t="shared" si="1"/>
        <v>-0.78682718813140851</v>
      </c>
      <c r="H27" s="6"/>
      <c r="I27" s="6"/>
      <c r="J27" s="6"/>
    </row>
    <row r="28" spans="1:10" ht="20.100000000000001" customHeight="1">
      <c r="A28" s="10" t="s">
        <v>12</v>
      </c>
      <c r="B28" s="66">
        <f>SUM(B29:B31)</f>
        <v>62504454</v>
      </c>
      <c r="C28" s="66">
        <f>SUM(C29:C31)</f>
        <v>63246397</v>
      </c>
      <c r="D28" s="7">
        <f t="shared" si="0"/>
        <v>-741943</v>
      </c>
      <c r="E28" s="12">
        <f t="shared" si="1"/>
        <v>-1.1730992359928425</v>
      </c>
      <c r="H28" s="6"/>
      <c r="I28" s="6"/>
      <c r="J28" s="6"/>
    </row>
    <row r="29" spans="1:10" ht="20.100000000000001" customHeight="1">
      <c r="A29" s="10" t="s">
        <v>13</v>
      </c>
      <c r="B29" s="66">
        <v>4321980</v>
      </c>
      <c r="C29" s="66">
        <v>4715412</v>
      </c>
      <c r="D29" s="7">
        <f t="shared" si="0"/>
        <v>-393432</v>
      </c>
      <c r="E29" s="12">
        <f t="shared" si="1"/>
        <v>-8.3435339266218946</v>
      </c>
      <c r="H29" s="6"/>
      <c r="I29" s="6"/>
      <c r="J29" s="6"/>
    </row>
    <row r="30" spans="1:10" ht="20.100000000000001" customHeight="1">
      <c r="A30" s="10" t="s">
        <v>14</v>
      </c>
      <c r="B30" s="184">
        <v>30211121</v>
      </c>
      <c r="C30" s="66">
        <v>30310575</v>
      </c>
      <c r="D30" s="7">
        <f t="shared" si="0"/>
        <v>-99454</v>
      </c>
      <c r="E30" s="12">
        <f t="shared" si="1"/>
        <v>-0.3281165071926217</v>
      </c>
    </row>
    <row r="31" spans="1:10" ht="20.100000000000001" customHeight="1">
      <c r="A31" s="10" t="s">
        <v>15</v>
      </c>
      <c r="B31" s="66">
        <v>27971353</v>
      </c>
      <c r="C31" s="66">
        <v>28220410</v>
      </c>
      <c r="D31" s="7">
        <f t="shared" si="0"/>
        <v>-249057</v>
      </c>
      <c r="E31" s="12">
        <f t="shared" si="1"/>
        <v>-0.88254210339254457</v>
      </c>
    </row>
    <row r="32" spans="1:10" ht="20.100000000000001" customHeight="1">
      <c r="A32" s="10" t="s">
        <v>27</v>
      </c>
      <c r="B32" s="66">
        <f>B33+B34</f>
        <v>41704110</v>
      </c>
      <c r="C32" s="66">
        <f>C33+C34</f>
        <v>41788611</v>
      </c>
      <c r="D32" s="7">
        <f t="shared" si="0"/>
        <v>-84501</v>
      </c>
      <c r="E32" s="12">
        <f t="shared" si="1"/>
        <v>-0.20221059752380857</v>
      </c>
    </row>
    <row r="33" spans="1:10" ht="20.100000000000001" customHeight="1">
      <c r="A33" s="10" t="s">
        <v>16</v>
      </c>
      <c r="B33" s="66">
        <v>1043662</v>
      </c>
      <c r="C33" s="66">
        <v>1128163</v>
      </c>
      <c r="D33" s="7">
        <f t="shared" si="0"/>
        <v>-84501</v>
      </c>
      <c r="E33" s="12">
        <f t="shared" si="1"/>
        <v>-7.4901410523124765</v>
      </c>
      <c r="H33" s="6"/>
      <c r="I33" s="6"/>
      <c r="J33" s="6"/>
    </row>
    <row r="34" spans="1:10" ht="19.5" customHeight="1">
      <c r="A34" s="10" t="s">
        <v>109</v>
      </c>
      <c r="B34" s="66">
        <v>40660448</v>
      </c>
      <c r="C34" s="66">
        <v>40660448</v>
      </c>
      <c r="D34" s="7">
        <f t="shared" si="0"/>
        <v>0</v>
      </c>
      <c r="E34" s="12">
        <f t="shared" si="1"/>
        <v>0</v>
      </c>
      <c r="H34" s="6"/>
      <c r="I34" s="6"/>
      <c r="J34" s="6"/>
    </row>
    <row r="35" spans="1:10" ht="19.5" customHeight="1">
      <c r="A35" s="10" t="s">
        <v>117</v>
      </c>
      <c r="B35" s="66">
        <f>B36+B39+B41</f>
        <v>2417654976</v>
      </c>
      <c r="C35" s="66">
        <f>C36+C39+C41</f>
        <v>2447591370</v>
      </c>
      <c r="D35" s="7">
        <f t="shared" si="0"/>
        <v>-29936394</v>
      </c>
      <c r="E35" s="12">
        <f t="shared" si="1"/>
        <v>-1.223096075878058</v>
      </c>
      <c r="H35" s="6"/>
      <c r="I35" s="6"/>
      <c r="J35" s="6"/>
    </row>
    <row r="36" spans="1:10" ht="19.5" customHeight="1">
      <c r="A36" s="10" t="s">
        <v>115</v>
      </c>
      <c r="B36" s="66">
        <f>B37+B38</f>
        <v>2198320596</v>
      </c>
      <c r="C36" s="66">
        <f>C37+C38</f>
        <v>2214553672</v>
      </c>
      <c r="D36" s="7">
        <f t="shared" si="0"/>
        <v>-16233076</v>
      </c>
      <c r="E36" s="12">
        <f t="shared" si="1"/>
        <v>-0.73301795324471142</v>
      </c>
      <c r="H36" s="6"/>
      <c r="I36" s="6"/>
      <c r="J36" s="6"/>
    </row>
    <row r="37" spans="1:10" ht="19.5" customHeight="1">
      <c r="A37" s="10" t="s">
        <v>17</v>
      </c>
      <c r="B37" s="66">
        <v>13716744</v>
      </c>
      <c r="C37" s="66">
        <v>13716744</v>
      </c>
      <c r="D37" s="7">
        <f t="shared" si="0"/>
        <v>0</v>
      </c>
      <c r="E37" s="12">
        <f t="shared" si="1"/>
        <v>0</v>
      </c>
    </row>
    <row r="38" spans="1:10" ht="19.5" customHeight="1">
      <c r="A38" s="10" t="s">
        <v>18</v>
      </c>
      <c r="B38" s="66">
        <v>2184603852</v>
      </c>
      <c r="C38" s="66">
        <v>2200836928</v>
      </c>
      <c r="D38" s="7">
        <f t="shared" si="0"/>
        <v>-16233076</v>
      </c>
      <c r="E38" s="12">
        <f t="shared" si="1"/>
        <v>-0.73758649691286893</v>
      </c>
      <c r="H38" s="6"/>
      <c r="I38" s="6"/>
    </row>
    <row r="39" spans="1:10" ht="19.5" customHeight="1">
      <c r="A39" s="10" t="s">
        <v>19</v>
      </c>
      <c r="B39" s="66">
        <f>B40</f>
        <v>238922190</v>
      </c>
      <c r="C39" s="66">
        <f>C40</f>
        <v>181799693</v>
      </c>
      <c r="D39" s="7">
        <f t="shared" si="0"/>
        <v>57122497</v>
      </c>
      <c r="E39" s="12">
        <f t="shared" si="1"/>
        <v>31.420568460475895</v>
      </c>
      <c r="H39" s="6"/>
      <c r="I39" s="6"/>
      <c r="J39" s="6"/>
    </row>
    <row r="40" spans="1:10" ht="19.5" customHeight="1">
      <c r="A40" s="10" t="s">
        <v>20</v>
      </c>
      <c r="B40" s="66">
        <v>238922190</v>
      </c>
      <c r="C40" s="66">
        <v>181799693</v>
      </c>
      <c r="D40" s="7">
        <f t="shared" si="0"/>
        <v>57122497</v>
      </c>
      <c r="E40" s="12">
        <f t="shared" si="1"/>
        <v>31.420568460475895</v>
      </c>
      <c r="H40" s="6"/>
      <c r="I40" s="6"/>
      <c r="J40" s="6"/>
    </row>
    <row r="41" spans="1:10" ht="19.5" customHeight="1">
      <c r="A41" s="13" t="s">
        <v>116</v>
      </c>
      <c r="B41" s="66">
        <f>B42</f>
        <v>-19587810</v>
      </c>
      <c r="C41" s="66">
        <f>C42</f>
        <v>51238005</v>
      </c>
      <c r="D41" s="7">
        <f t="shared" si="0"/>
        <v>-70825815</v>
      </c>
      <c r="E41" s="12">
        <v>100</v>
      </c>
      <c r="H41" s="6"/>
      <c r="I41" s="6"/>
      <c r="J41" s="6"/>
    </row>
    <row r="42" spans="1:10" ht="19.5" customHeight="1">
      <c r="A42" s="13" t="s">
        <v>118</v>
      </c>
      <c r="B42" s="66">
        <v>-19587810</v>
      </c>
      <c r="C42" s="66">
        <v>51238005</v>
      </c>
      <c r="D42" s="7">
        <f t="shared" si="0"/>
        <v>-70825815</v>
      </c>
      <c r="E42" s="12">
        <v>100</v>
      </c>
      <c r="H42" s="6"/>
      <c r="I42" s="6"/>
      <c r="J42" s="6"/>
    </row>
    <row r="43" spans="1:10" ht="19.5" customHeight="1" thickBot="1">
      <c r="A43" s="14" t="s">
        <v>110</v>
      </c>
      <c r="B43" s="185">
        <f>B27+B35</f>
        <v>2521863540</v>
      </c>
      <c r="C43" s="185">
        <f>C27+C35</f>
        <v>2552626378</v>
      </c>
      <c r="D43" s="15">
        <f t="shared" si="0"/>
        <v>-30762838</v>
      </c>
      <c r="E43" s="16">
        <f t="shared" si="1"/>
        <v>-1.2051445626799051</v>
      </c>
    </row>
    <row r="45" spans="1:10">
      <c r="H45" s="6"/>
      <c r="I45" s="6"/>
      <c r="J45" s="6"/>
    </row>
    <row r="46" spans="1:10">
      <c r="H46" s="6"/>
      <c r="I46" s="6"/>
      <c r="J46" s="6"/>
    </row>
    <row r="47" spans="1:10">
      <c r="H47" s="6"/>
      <c r="I47" s="6"/>
      <c r="J47" s="6"/>
    </row>
    <row r="49" spans="8:10">
      <c r="H49" s="6"/>
      <c r="I49" s="6"/>
      <c r="J49" s="6"/>
    </row>
    <row r="50" spans="8:10">
      <c r="H50" s="6"/>
      <c r="I50" s="6"/>
      <c r="J50" s="6"/>
    </row>
    <row r="51" spans="8:10">
      <c r="H51" s="6"/>
      <c r="I51" s="6"/>
      <c r="J51" s="6"/>
    </row>
    <row r="52" spans="8:10">
      <c r="H52" s="6"/>
      <c r="I52" s="6"/>
      <c r="J52" s="6"/>
    </row>
    <row r="53" spans="8:10">
      <c r="H53" s="6"/>
      <c r="I53" s="6"/>
      <c r="J53" s="6"/>
    </row>
  </sheetData>
  <sheetProtection algorithmName="SHA-512" hashValue="W4h5a53NRFvuYKMTIe6Qze3xEZbK7L7+YxqwKhvrCmLZ0nsJjwcJ+HFqbV7d37GLtOhAbyukB6oPj8bynDQvSA==" saltValue="//qHoDcGsrPMehj88hZNVQ==" spinCount="100000" sheet="1" objects="1" scenarios="1"/>
  <mergeCells count="9">
    <mergeCell ref="A1:E1"/>
    <mergeCell ref="D4:E4"/>
    <mergeCell ref="D5:D6"/>
    <mergeCell ref="E5:E6"/>
    <mergeCell ref="A4:A6"/>
    <mergeCell ref="B4:B6"/>
    <mergeCell ref="C4:C6"/>
    <mergeCell ref="A2:E2"/>
    <mergeCell ref="A3:E3"/>
  </mergeCells>
  <phoneticPr fontId="1" type="noConversion"/>
  <printOptions horizontalCentered="1" verticalCentered="1"/>
  <pageMargins left="0.19685039370078741" right="0.19685039370078741" top="0.31496062992125984" bottom="0.39370078740157483" header="0.31496062992125984" footer="0.19685039370078741"/>
  <pageSetup paperSize="9" orientation="portrait" r:id="rId1"/>
  <headerFooter>
    <oddHeader>&amp;R
&amp;"標楷體,標準"全&amp;N頁第&amp;P頁
單位：新臺幣元</oddHeader>
    <oddFooter>&amp;C
～  　    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xSplit="2" ySplit="5" topLeftCell="C17" activePane="bottomRight" state="frozen"/>
      <selection pane="topRight" activeCell="C1" sqref="C1"/>
      <selection pane="bottomLeft" activeCell="A6" sqref="A6"/>
      <selection pane="bottomRight" activeCell="C19" sqref="C19"/>
    </sheetView>
  </sheetViews>
  <sheetFormatPr defaultColWidth="8.75" defaultRowHeight="16.5"/>
  <cols>
    <col min="1" max="1" width="15.5" style="3" bestFit="1" customWidth="1"/>
    <col min="2" max="2" width="21.125" style="3" customWidth="1"/>
    <col min="3" max="4" width="15.875" style="3" customWidth="1"/>
    <col min="5" max="5" width="14.75" style="3" customWidth="1"/>
    <col min="6" max="6" width="16.125" style="3" customWidth="1"/>
    <col min="7" max="8" width="8.75" style="3"/>
    <col min="9" max="9" width="23.75" style="3" customWidth="1"/>
    <col min="10" max="10" width="38.5" style="3" customWidth="1"/>
    <col min="11" max="16384" width="8.75" style="3"/>
  </cols>
  <sheetData>
    <row r="1" spans="1:10" ht="22.5" customHeight="1">
      <c r="A1" s="193" t="s">
        <v>198</v>
      </c>
      <c r="B1" s="193"/>
      <c r="C1" s="193"/>
      <c r="D1" s="193"/>
      <c r="E1" s="193"/>
      <c r="F1" s="193"/>
      <c r="I1" s="2"/>
      <c r="J1" s="2"/>
    </row>
    <row r="2" spans="1:10" ht="22.5" customHeight="1">
      <c r="A2" s="193" t="s">
        <v>304</v>
      </c>
      <c r="B2" s="193"/>
      <c r="C2" s="193"/>
      <c r="D2" s="193"/>
      <c r="E2" s="193"/>
      <c r="F2" s="193"/>
      <c r="J2" s="6"/>
    </row>
    <row r="3" spans="1:10" ht="22.5" customHeight="1" thickBot="1">
      <c r="A3" s="206" t="s">
        <v>303</v>
      </c>
      <c r="B3" s="206"/>
      <c r="C3" s="206"/>
      <c r="D3" s="206"/>
      <c r="E3" s="206"/>
      <c r="F3" s="206"/>
      <c r="J3" s="6"/>
    </row>
    <row r="4" spans="1:10" ht="30" customHeight="1">
      <c r="A4" s="201" t="s">
        <v>28</v>
      </c>
      <c r="B4" s="210" t="s">
        <v>43</v>
      </c>
      <c r="C4" s="212" t="s">
        <v>127</v>
      </c>
      <c r="D4" s="212" t="s">
        <v>128</v>
      </c>
      <c r="E4" s="207" t="s">
        <v>44</v>
      </c>
      <c r="F4" s="208"/>
      <c r="J4" s="6"/>
    </row>
    <row r="5" spans="1:10" ht="31.5" customHeight="1">
      <c r="A5" s="209"/>
      <c r="B5" s="211"/>
      <c r="C5" s="213"/>
      <c r="D5" s="213"/>
      <c r="E5" s="17" t="s">
        <v>45</v>
      </c>
      <c r="F5" s="52" t="s">
        <v>46</v>
      </c>
      <c r="G5" s="18"/>
      <c r="H5" s="18"/>
      <c r="J5" s="6"/>
    </row>
    <row r="6" spans="1:10" ht="30" customHeight="1">
      <c r="A6" s="53">
        <f>A7+A8+A9+A10+A11+A12</f>
        <v>181541061</v>
      </c>
      <c r="B6" s="4" t="s">
        <v>29</v>
      </c>
      <c r="C6" s="9">
        <f>SUM(C7:C12)</f>
        <v>170045058</v>
      </c>
      <c r="D6" s="9">
        <f>SUM(D7:D12)</f>
        <v>243325181</v>
      </c>
      <c r="E6" s="7">
        <f>D6-C6</f>
        <v>73280123</v>
      </c>
      <c r="F6" s="12">
        <f>E6/C6*100</f>
        <v>43.094532626758259</v>
      </c>
      <c r="J6" s="6"/>
    </row>
    <row r="7" spans="1:10" ht="30" customHeight="1">
      <c r="A7" s="53">
        <v>66702894</v>
      </c>
      <c r="B7" s="4" t="s">
        <v>30</v>
      </c>
      <c r="C7" s="9">
        <f>收入明細!C6</f>
        <v>63922760</v>
      </c>
      <c r="D7" s="9">
        <v>55275432</v>
      </c>
      <c r="E7" s="7">
        <f t="shared" ref="E7:E25" si="0">D7-C7</f>
        <v>-8647328</v>
      </c>
      <c r="F7" s="54">
        <f t="shared" ref="F7:F25" si="1">E7/C7*100</f>
        <v>-13.527776335064381</v>
      </c>
      <c r="J7" s="6"/>
    </row>
    <row r="8" spans="1:10" ht="30" customHeight="1">
      <c r="A8" s="53">
        <v>43113703</v>
      </c>
      <c r="B8" s="4" t="s">
        <v>129</v>
      </c>
      <c r="C8" s="9">
        <f>收入明細!C11</f>
        <v>44000000</v>
      </c>
      <c r="D8" s="9">
        <v>41374092</v>
      </c>
      <c r="E8" s="7">
        <f t="shared" si="0"/>
        <v>-2625908</v>
      </c>
      <c r="F8" s="54">
        <f t="shared" si="1"/>
        <v>-5.967972727272727</v>
      </c>
      <c r="J8" s="6"/>
    </row>
    <row r="9" spans="1:10" ht="30" customHeight="1">
      <c r="A9" s="53">
        <v>11531198</v>
      </c>
      <c r="B9" s="4" t="s">
        <v>31</v>
      </c>
      <c r="C9" s="9">
        <f>收入明細!C12</f>
        <v>12286130</v>
      </c>
      <c r="D9" s="9">
        <f>48580618-41374092</f>
        <v>7206526</v>
      </c>
      <c r="E9" s="7">
        <f t="shared" si="0"/>
        <v>-5079604</v>
      </c>
      <c r="F9" s="54">
        <f t="shared" si="1"/>
        <v>-41.344214980632628</v>
      </c>
      <c r="J9" s="6"/>
    </row>
    <row r="10" spans="1:10" ht="30" customHeight="1">
      <c r="A10" s="53">
        <v>26035238</v>
      </c>
      <c r="B10" s="4" t="s">
        <v>32</v>
      </c>
      <c r="C10" s="9">
        <f>收入明細!C13</f>
        <v>16982180</v>
      </c>
      <c r="D10" s="9">
        <v>23092723</v>
      </c>
      <c r="E10" s="7">
        <f t="shared" si="0"/>
        <v>6110543</v>
      </c>
      <c r="F10" s="54">
        <f t="shared" si="1"/>
        <v>35.982088283129727</v>
      </c>
      <c r="J10" s="6"/>
    </row>
    <row r="11" spans="1:10" ht="30" customHeight="1">
      <c r="A11" s="53">
        <v>20748204</v>
      </c>
      <c r="B11" s="4" t="s">
        <v>33</v>
      </c>
      <c r="C11" s="9">
        <f>收入明細!C16</f>
        <v>19765920</v>
      </c>
      <c r="D11" s="9">
        <v>104208136</v>
      </c>
      <c r="E11" s="7">
        <f t="shared" si="0"/>
        <v>84442216</v>
      </c>
      <c r="F11" s="54">
        <f t="shared" si="1"/>
        <v>427.21115940973152</v>
      </c>
      <c r="J11" s="6"/>
    </row>
    <row r="12" spans="1:10" ht="30" customHeight="1">
      <c r="A12" s="53">
        <v>13409824</v>
      </c>
      <c r="B12" s="4" t="s">
        <v>34</v>
      </c>
      <c r="C12" s="9">
        <f>收入明細!C19</f>
        <v>13088068</v>
      </c>
      <c r="D12" s="9">
        <v>12168272</v>
      </c>
      <c r="E12" s="7">
        <f t="shared" si="0"/>
        <v>-919796</v>
      </c>
      <c r="F12" s="54">
        <f t="shared" si="1"/>
        <v>-7.027744660250848</v>
      </c>
    </row>
    <row r="13" spans="1:10" ht="30" customHeight="1">
      <c r="A13" s="53">
        <f>SUM(A14:A20)</f>
        <v>206812537</v>
      </c>
      <c r="B13" s="4" t="s">
        <v>35</v>
      </c>
      <c r="C13" s="9">
        <f>SUM(C14:C20)</f>
        <v>215934824</v>
      </c>
      <c r="D13" s="9">
        <f>SUM(D14:D20)</f>
        <v>202435760</v>
      </c>
      <c r="E13" s="7">
        <f>SUM(E14:E20)</f>
        <v>-13499064</v>
      </c>
      <c r="F13" s="54">
        <f t="shared" si="1"/>
        <v>-6.2514529847209825</v>
      </c>
    </row>
    <row r="14" spans="1:10" ht="30" customHeight="1">
      <c r="A14" s="53">
        <v>1871565</v>
      </c>
      <c r="B14" s="4" t="s">
        <v>36</v>
      </c>
      <c r="C14" s="9">
        <f>支出明細表!C6</f>
        <v>2975127</v>
      </c>
      <c r="D14" s="9">
        <v>2044056</v>
      </c>
      <c r="E14" s="7">
        <f t="shared" si="0"/>
        <v>-931071</v>
      </c>
      <c r="F14" s="54">
        <f t="shared" si="1"/>
        <v>-31.295168239876819</v>
      </c>
      <c r="J14" s="6"/>
    </row>
    <row r="15" spans="1:10" ht="30" customHeight="1">
      <c r="A15" s="53">
        <v>29078375</v>
      </c>
      <c r="B15" s="4" t="s">
        <v>37</v>
      </c>
      <c r="C15" s="9">
        <f>支出明細表!C12</f>
        <v>31493489</v>
      </c>
      <c r="D15" s="9">
        <v>31737950</v>
      </c>
      <c r="E15" s="7">
        <f t="shared" si="0"/>
        <v>244461</v>
      </c>
      <c r="F15" s="54">
        <f t="shared" si="1"/>
        <v>0.77622711157852342</v>
      </c>
      <c r="J15" s="6"/>
    </row>
    <row r="16" spans="1:10" ht="30" customHeight="1">
      <c r="A16" s="53">
        <v>92150783</v>
      </c>
      <c r="B16" s="20" t="s">
        <v>38</v>
      </c>
      <c r="C16" s="9">
        <f>支出明細表!C18</f>
        <v>95238744</v>
      </c>
      <c r="D16" s="9">
        <v>90505663</v>
      </c>
      <c r="E16" s="7">
        <f t="shared" si="0"/>
        <v>-4733081</v>
      </c>
      <c r="F16" s="54">
        <f t="shared" si="1"/>
        <v>-4.9697011963954498</v>
      </c>
      <c r="J16" s="6"/>
    </row>
    <row r="17" spans="1:10" ht="30" customHeight="1">
      <c r="A17" s="53">
        <v>2112683</v>
      </c>
      <c r="B17" s="4" t="s">
        <v>39</v>
      </c>
      <c r="C17" s="9">
        <f>支出明細表!C24</f>
        <v>920000</v>
      </c>
      <c r="D17" s="9">
        <v>886180</v>
      </c>
      <c r="E17" s="7">
        <f t="shared" si="0"/>
        <v>-33820</v>
      </c>
      <c r="F17" s="54">
        <f t="shared" si="1"/>
        <v>-3.6760869565217389</v>
      </c>
      <c r="J17" s="6"/>
    </row>
    <row r="18" spans="1:10" ht="30" customHeight="1">
      <c r="A18" s="53">
        <v>44201636</v>
      </c>
      <c r="B18" s="4" t="s">
        <v>40</v>
      </c>
      <c r="C18" s="9">
        <f>支出明細表!C26</f>
        <v>46927027</v>
      </c>
      <c r="D18" s="9">
        <v>44305250</v>
      </c>
      <c r="E18" s="7">
        <f t="shared" si="0"/>
        <v>-2621777</v>
      </c>
      <c r="F18" s="54">
        <f t="shared" si="1"/>
        <v>-5.5869232883642939</v>
      </c>
      <c r="J18" s="6"/>
    </row>
    <row r="19" spans="1:10" ht="30" customHeight="1">
      <c r="A19" s="53">
        <v>7506338</v>
      </c>
      <c r="B19" s="4" t="s">
        <v>41</v>
      </c>
      <c r="C19" s="19">
        <f>支出明細表!C32</f>
        <v>8406033</v>
      </c>
      <c r="D19" s="19">
        <v>4269317</v>
      </c>
      <c r="E19" s="7">
        <f t="shared" si="0"/>
        <v>-4136716</v>
      </c>
      <c r="F19" s="54">
        <f t="shared" si="1"/>
        <v>-49.211274807034421</v>
      </c>
    </row>
    <row r="20" spans="1:10" ht="30" customHeight="1">
      <c r="A20" s="53">
        <v>29891157</v>
      </c>
      <c r="B20" s="4" t="s">
        <v>42</v>
      </c>
      <c r="C20" s="9">
        <f>支出明細表!C33</f>
        <v>29974404</v>
      </c>
      <c r="D20" s="9">
        <v>28687344</v>
      </c>
      <c r="E20" s="7">
        <f t="shared" si="0"/>
        <v>-1287060</v>
      </c>
      <c r="F20" s="54">
        <f t="shared" si="1"/>
        <v>-4.2938635243589829</v>
      </c>
      <c r="J20" s="6"/>
    </row>
    <row r="21" spans="1:10" ht="30" customHeight="1">
      <c r="A21" s="55">
        <f>A6-A13</f>
        <v>-25271476</v>
      </c>
      <c r="B21" s="4" t="s">
        <v>120</v>
      </c>
      <c r="C21" s="9">
        <f>C6-C13</f>
        <v>-45889766</v>
      </c>
      <c r="D21" s="183">
        <f>D6-D13</f>
        <v>40889421</v>
      </c>
      <c r="E21" s="7">
        <f t="shared" si="0"/>
        <v>86779187</v>
      </c>
      <c r="F21" s="54">
        <f t="shared" si="1"/>
        <v>-189.103572678928</v>
      </c>
      <c r="J21" s="6"/>
    </row>
    <row r="22" spans="1:10" ht="30" customHeight="1">
      <c r="A22" s="53"/>
      <c r="B22" s="4" t="s">
        <v>121</v>
      </c>
      <c r="C22" s="7"/>
      <c r="D22" s="7"/>
      <c r="E22" s="7"/>
      <c r="F22" s="54"/>
      <c r="J22" s="6"/>
    </row>
    <row r="23" spans="1:10" ht="39.950000000000003" customHeight="1">
      <c r="A23" s="53">
        <f>平衡表!C42</f>
        <v>51238005</v>
      </c>
      <c r="B23" s="5" t="s">
        <v>122</v>
      </c>
      <c r="C23" s="166">
        <v>0</v>
      </c>
      <c r="D23" s="166">
        <f>平衡表!D41</f>
        <v>-70825815</v>
      </c>
      <c r="E23" s="7">
        <f t="shared" si="0"/>
        <v>-70825815</v>
      </c>
      <c r="F23" s="54"/>
      <c r="J23" s="6"/>
    </row>
    <row r="24" spans="1:10" ht="30" customHeight="1">
      <c r="A24" s="53">
        <f>平衡表!C42</f>
        <v>51238005</v>
      </c>
      <c r="B24" s="4" t="s">
        <v>123</v>
      </c>
      <c r="C24" s="166">
        <v>0</v>
      </c>
      <c r="D24" s="166">
        <f>平衡表!D42</f>
        <v>-70825815</v>
      </c>
      <c r="E24" s="7">
        <f t="shared" si="0"/>
        <v>-70825815</v>
      </c>
      <c r="F24" s="54"/>
      <c r="J24" s="6"/>
    </row>
    <row r="25" spans="1:10" ht="30" customHeight="1" thickBot="1">
      <c r="A25" s="56">
        <f t="shared" ref="A25:C25" si="2">A21+A24</f>
        <v>25966529</v>
      </c>
      <c r="B25" s="57" t="s">
        <v>124</v>
      </c>
      <c r="C25" s="15">
        <f t="shared" si="2"/>
        <v>-45889766</v>
      </c>
      <c r="D25" s="15">
        <f t="shared" ref="D25" si="3">D21+D24</f>
        <v>-29936394</v>
      </c>
      <c r="E25" s="15">
        <f t="shared" si="0"/>
        <v>15953372</v>
      </c>
      <c r="F25" s="58">
        <f t="shared" si="1"/>
        <v>-34.76455295065135</v>
      </c>
      <c r="J25" s="6"/>
    </row>
    <row r="26" spans="1:10">
      <c r="J26" s="6"/>
    </row>
    <row r="27" spans="1:10">
      <c r="J27" s="6"/>
    </row>
    <row r="28" spans="1:10">
      <c r="J28" s="6"/>
    </row>
    <row r="29" spans="1:10">
      <c r="J29" s="6"/>
    </row>
    <row r="30" spans="1:10">
      <c r="J30" s="6"/>
    </row>
    <row r="31" spans="1:10">
      <c r="J31" s="6"/>
    </row>
    <row r="32" spans="1:10">
      <c r="J32" s="6"/>
    </row>
    <row r="33" spans="10:10">
      <c r="J33" s="6"/>
    </row>
    <row r="34" spans="10:10">
      <c r="J34" s="6"/>
    </row>
    <row r="35" spans="10:10">
      <c r="J35" s="6"/>
    </row>
    <row r="36" spans="10:10">
      <c r="J36" s="6"/>
    </row>
  </sheetData>
  <sheetProtection algorithmName="SHA-512" hashValue="yR4OpJu2jPmUB4hZyCfZ8BgyEDruIy8WNNNPDjKdY/3pscE9niTVxVzat8sCVnb0qdglpiwn6W6sc9QdhAJfqw==" saltValue="91WWGyj5+8sPRmkh54zhaA==" spinCount="100000" sheet="1" objects="1" scenarios="1"/>
  <mergeCells count="8">
    <mergeCell ref="A1:F1"/>
    <mergeCell ref="E4:F4"/>
    <mergeCell ref="A4:A5"/>
    <mergeCell ref="B4:B5"/>
    <mergeCell ref="C4:C5"/>
    <mergeCell ref="D4:D5"/>
    <mergeCell ref="A2:F2"/>
    <mergeCell ref="A3:F3"/>
  </mergeCells>
  <phoneticPr fontId="1" type="noConversion"/>
  <pageMargins left="0" right="0" top="0.55118110236220474" bottom="0.55118110236220474" header="0.31496062992125984" footer="0.31496062992125984"/>
  <pageSetup paperSize="9" orientation="portrait" r:id="rId1"/>
  <headerFooter>
    <oddHeader>&amp;R&amp;"標楷體,標準"
全&amp;N頁第&amp;P頁
單位：新臺幣元</oddHeader>
    <oddFooter>&amp;C～   　   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workbookViewId="0">
      <pane xSplit="2" ySplit="4" topLeftCell="C56" activePane="bottomRight" state="frozen"/>
      <selection pane="topRight" activeCell="C1" sqref="C1"/>
      <selection pane="bottomLeft" activeCell="A5" sqref="A5"/>
      <selection pane="bottomRight" activeCell="D62" sqref="D62"/>
    </sheetView>
  </sheetViews>
  <sheetFormatPr defaultColWidth="8.75" defaultRowHeight="16.5"/>
  <cols>
    <col min="1" max="1" width="2.125" style="3" customWidth="1"/>
    <col min="2" max="2" width="21.75" style="3" customWidth="1"/>
    <col min="3" max="3" width="13.375" style="3" bestFit="1" customWidth="1"/>
    <col min="4" max="5" width="13" style="3" bestFit="1" customWidth="1"/>
    <col min="6" max="6" width="13.375" style="3" bestFit="1" customWidth="1"/>
    <col min="7" max="7" width="14.25" style="3" bestFit="1" customWidth="1"/>
    <col min="8" max="8" width="14.25" style="3" customWidth="1"/>
    <col min="9" max="9" width="13.25" style="3" hidden="1" customWidth="1"/>
    <col min="10" max="10" width="12.375" style="3" hidden="1" customWidth="1"/>
    <col min="11" max="11" width="11.125" style="3" bestFit="1" customWidth="1"/>
    <col min="12" max="16384" width="8.75" style="3"/>
  </cols>
  <sheetData>
    <row r="1" spans="1:11" ht="17.100000000000001" customHeight="1">
      <c r="A1" s="216" t="s">
        <v>199</v>
      </c>
      <c r="B1" s="216"/>
      <c r="C1" s="216"/>
      <c r="D1" s="216"/>
      <c r="E1" s="216"/>
      <c r="F1" s="216"/>
      <c r="G1" s="216"/>
      <c r="H1" s="216"/>
    </row>
    <row r="2" spans="1:11">
      <c r="A2" s="193" t="s">
        <v>305</v>
      </c>
      <c r="B2" s="193"/>
      <c r="C2" s="193"/>
      <c r="D2" s="193"/>
      <c r="E2" s="193"/>
      <c r="F2" s="193"/>
      <c r="G2" s="193"/>
      <c r="H2" s="193"/>
    </row>
    <row r="3" spans="1:11" ht="17.25" thickBot="1">
      <c r="A3" s="206" t="s">
        <v>306</v>
      </c>
      <c r="B3" s="206"/>
      <c r="C3" s="206"/>
      <c r="D3" s="206"/>
      <c r="E3" s="206"/>
      <c r="F3" s="206"/>
      <c r="G3" s="206"/>
      <c r="H3" s="206"/>
    </row>
    <row r="4" spans="1:11" ht="33.6" customHeight="1">
      <c r="A4" s="217" t="s">
        <v>47</v>
      </c>
      <c r="B4" s="218"/>
      <c r="C4" s="80" t="s">
        <v>190</v>
      </c>
      <c r="D4" s="80" t="s">
        <v>191</v>
      </c>
      <c r="E4" s="80" t="s">
        <v>193</v>
      </c>
      <c r="F4" s="80" t="s">
        <v>192</v>
      </c>
      <c r="G4" s="134" t="s">
        <v>194</v>
      </c>
      <c r="H4" s="81" t="s">
        <v>48</v>
      </c>
    </row>
    <row r="5" spans="1:11">
      <c r="A5" s="28" t="s">
        <v>7</v>
      </c>
      <c r="B5" s="20"/>
      <c r="C5" s="140">
        <f>C6+C7+C53+C59+C74</f>
        <v>340760700</v>
      </c>
      <c r="D5" s="135">
        <f>D6+D7+D53+D59+D74</f>
        <v>17249831</v>
      </c>
      <c r="E5" s="23">
        <f>E6+E7+E53+E59+E74</f>
        <v>1732776</v>
      </c>
      <c r="F5" s="23">
        <f>F6+F7+F53+F59+F74</f>
        <v>24069752</v>
      </c>
      <c r="G5" s="23">
        <f>G6+G7+G53+G59+G74</f>
        <v>1732776</v>
      </c>
      <c r="H5" s="24">
        <f>C5+D5+E5-F5-G5</f>
        <v>333940779</v>
      </c>
      <c r="K5" s="163">
        <f>H5-平衡表!B16</f>
        <v>0</v>
      </c>
    </row>
    <row r="6" spans="1:11">
      <c r="A6" s="214" t="s">
        <v>130</v>
      </c>
      <c r="B6" s="215"/>
      <c r="C6" s="140">
        <v>191276474</v>
      </c>
      <c r="D6" s="139">
        <v>2313742</v>
      </c>
      <c r="E6" s="140">
        <v>0</v>
      </c>
      <c r="F6" s="140"/>
      <c r="G6" s="140">
        <v>0</v>
      </c>
      <c r="H6" s="141">
        <f>C6+D6+E6-F6-G6</f>
        <v>193590216</v>
      </c>
      <c r="K6" s="163">
        <f>H6-平衡表!B17</f>
        <v>0</v>
      </c>
    </row>
    <row r="7" spans="1:11">
      <c r="A7" s="147" t="s">
        <v>131</v>
      </c>
      <c r="B7" s="148"/>
      <c r="C7" s="140">
        <f>C8+C24</f>
        <v>121192709</v>
      </c>
      <c r="D7" s="139">
        <f t="shared" ref="D7:H7" si="0">D8+D24</f>
        <v>11473479</v>
      </c>
      <c r="E7" s="140">
        <f t="shared" si="0"/>
        <v>1695006</v>
      </c>
      <c r="F7" s="140">
        <f>F8+F24</f>
        <v>17441156</v>
      </c>
      <c r="G7" s="140">
        <f t="shared" si="0"/>
        <v>1730788</v>
      </c>
      <c r="H7" s="141">
        <f t="shared" si="0"/>
        <v>115189250</v>
      </c>
      <c r="K7" s="163">
        <f>H7-平衡表!B18</f>
        <v>0</v>
      </c>
    </row>
    <row r="8" spans="1:11">
      <c r="A8" s="147" t="s">
        <v>132</v>
      </c>
      <c r="B8" s="148"/>
      <c r="C8" s="140">
        <f>SUM(C9:C23)</f>
        <v>58859981</v>
      </c>
      <c r="D8" s="139">
        <f>SUM(D9:D23)</f>
        <v>2022880</v>
      </c>
      <c r="E8" s="139">
        <f>SUM(E9:E23)</f>
        <v>22900</v>
      </c>
      <c r="F8" s="139">
        <f>SUM(F9:F23)</f>
        <v>6286180</v>
      </c>
      <c r="G8" s="139">
        <f>SUM(G9:G23)</f>
        <v>1415163</v>
      </c>
      <c r="H8" s="141">
        <f t="shared" ref="H8:H72" si="1">C8+D8+E8-F8-G8</f>
        <v>53204418</v>
      </c>
    </row>
    <row r="9" spans="1:11">
      <c r="A9" s="149"/>
      <c r="B9" s="150" t="s">
        <v>133</v>
      </c>
      <c r="C9" s="140">
        <v>2474330</v>
      </c>
      <c r="D9" s="139"/>
      <c r="E9" s="140"/>
      <c r="F9" s="140"/>
      <c r="G9" s="140"/>
      <c r="H9" s="141">
        <f t="shared" si="1"/>
        <v>2474330</v>
      </c>
      <c r="K9" s="163"/>
    </row>
    <row r="10" spans="1:11">
      <c r="A10" s="149"/>
      <c r="B10" s="150" t="s">
        <v>135</v>
      </c>
      <c r="C10" s="140">
        <v>11757209</v>
      </c>
      <c r="D10" s="139">
        <v>454304</v>
      </c>
      <c r="E10" s="140"/>
      <c r="F10" s="140">
        <v>103195</v>
      </c>
      <c r="G10" s="140"/>
      <c r="H10" s="141">
        <f t="shared" si="1"/>
        <v>12108318</v>
      </c>
    </row>
    <row r="11" spans="1:11">
      <c r="A11" s="149"/>
      <c r="B11" s="150" t="s">
        <v>136</v>
      </c>
      <c r="C11" s="140">
        <v>2155933</v>
      </c>
      <c r="D11" s="139">
        <v>121479</v>
      </c>
      <c r="E11" s="140"/>
      <c r="F11" s="140"/>
      <c r="G11" s="140"/>
      <c r="H11" s="141">
        <f>C11+D11+E11-F11-G11</f>
        <v>2277412</v>
      </c>
    </row>
    <row r="12" spans="1:11">
      <c r="A12" s="149"/>
      <c r="B12" s="150" t="s">
        <v>137</v>
      </c>
      <c r="C12" s="140">
        <v>5303509</v>
      </c>
      <c r="D12" s="139"/>
      <c r="E12" s="140"/>
      <c r="F12" s="140">
        <v>2325226</v>
      </c>
      <c r="G12" s="140"/>
      <c r="H12" s="141">
        <f t="shared" si="1"/>
        <v>2978283</v>
      </c>
    </row>
    <row r="13" spans="1:11">
      <c r="A13" s="149"/>
      <c r="B13" s="150" t="s">
        <v>138</v>
      </c>
      <c r="C13" s="140">
        <v>7223558</v>
      </c>
      <c r="D13" s="139">
        <v>383900</v>
      </c>
      <c r="E13" s="139">
        <v>22900</v>
      </c>
      <c r="F13" s="140">
        <v>1008848</v>
      </c>
      <c r="G13" s="140"/>
      <c r="H13" s="141">
        <f t="shared" si="1"/>
        <v>6621510</v>
      </c>
    </row>
    <row r="14" spans="1:11">
      <c r="A14" s="149"/>
      <c r="B14" s="150" t="s">
        <v>139</v>
      </c>
      <c r="C14" s="140">
        <v>5001117</v>
      </c>
      <c r="D14" s="139"/>
      <c r="E14" s="140"/>
      <c r="F14" s="140"/>
      <c r="G14" s="140"/>
      <c r="H14" s="141">
        <f t="shared" si="1"/>
        <v>5001117</v>
      </c>
    </row>
    <row r="15" spans="1:11">
      <c r="A15" s="149"/>
      <c r="B15" s="150" t="s">
        <v>140</v>
      </c>
      <c r="C15" s="140">
        <v>202400</v>
      </c>
      <c r="D15" s="139"/>
      <c r="E15" s="140"/>
      <c r="F15" s="140"/>
      <c r="G15" s="140"/>
      <c r="H15" s="141">
        <f t="shared" si="1"/>
        <v>202400</v>
      </c>
    </row>
    <row r="16" spans="1:11">
      <c r="A16" s="149"/>
      <c r="B16" s="150" t="s">
        <v>141</v>
      </c>
      <c r="C16" s="140">
        <v>13535295</v>
      </c>
      <c r="D16" s="139">
        <v>544797</v>
      </c>
      <c r="E16" s="140"/>
      <c r="F16" s="140">
        <v>1069235</v>
      </c>
      <c r="G16" s="140"/>
      <c r="H16" s="141">
        <f t="shared" si="1"/>
        <v>13010857</v>
      </c>
    </row>
    <row r="17" spans="1:8">
      <c r="A17" s="149"/>
      <c r="B17" s="150" t="s">
        <v>142</v>
      </c>
      <c r="C17" s="140">
        <v>4150222</v>
      </c>
      <c r="D17" s="139">
        <v>468000</v>
      </c>
      <c r="E17" s="140"/>
      <c r="F17" s="25">
        <v>365862</v>
      </c>
      <c r="G17" s="140"/>
      <c r="H17" s="141">
        <f t="shared" si="1"/>
        <v>4252360</v>
      </c>
    </row>
    <row r="18" spans="1:8">
      <c r="A18" s="149"/>
      <c r="B18" s="150" t="s">
        <v>143</v>
      </c>
      <c r="C18" s="140">
        <v>227988</v>
      </c>
      <c r="D18" s="139"/>
      <c r="E18" s="140"/>
      <c r="F18" s="140"/>
      <c r="G18" s="140"/>
      <c r="H18" s="141">
        <f t="shared" si="1"/>
        <v>227988</v>
      </c>
    </row>
    <row r="19" spans="1:8">
      <c r="A19" s="149"/>
      <c r="B19" s="150" t="s">
        <v>144</v>
      </c>
      <c r="C19" s="140">
        <v>4360963</v>
      </c>
      <c r="D19" s="139">
        <v>29500</v>
      </c>
      <c r="E19" s="140"/>
      <c r="F19" s="140">
        <v>1065725</v>
      </c>
      <c r="G19" s="140"/>
      <c r="H19" s="141">
        <f t="shared" si="1"/>
        <v>3324738</v>
      </c>
    </row>
    <row r="20" spans="1:8">
      <c r="A20" s="149"/>
      <c r="B20" s="150" t="s">
        <v>145</v>
      </c>
      <c r="C20" s="140">
        <v>1518949</v>
      </c>
      <c r="D20" s="139"/>
      <c r="E20" s="140"/>
      <c r="F20" s="140">
        <v>147315</v>
      </c>
      <c r="G20" s="140">
        <v>1371634</v>
      </c>
      <c r="H20" s="141">
        <f t="shared" si="1"/>
        <v>0</v>
      </c>
    </row>
    <row r="21" spans="1:8">
      <c r="A21" s="149"/>
      <c r="B21" s="150" t="s">
        <v>146</v>
      </c>
      <c r="C21" s="140">
        <v>536997</v>
      </c>
      <c r="D21" s="139">
        <v>20900</v>
      </c>
      <c r="E21" s="140"/>
      <c r="F21" s="140">
        <v>200774</v>
      </c>
      <c r="G21" s="140">
        <v>43529</v>
      </c>
      <c r="H21" s="141">
        <f t="shared" si="1"/>
        <v>313594</v>
      </c>
    </row>
    <row r="22" spans="1:8">
      <c r="A22" s="149"/>
      <c r="B22" s="150" t="s">
        <v>147</v>
      </c>
      <c r="C22" s="140">
        <v>143982</v>
      </c>
      <c r="D22" s="139"/>
      <c r="E22" s="140"/>
      <c r="F22" s="140"/>
      <c r="G22" s="140"/>
      <c r="H22" s="141">
        <f t="shared" si="1"/>
        <v>143982</v>
      </c>
    </row>
    <row r="23" spans="1:8">
      <c r="A23" s="149"/>
      <c r="B23" s="150" t="s">
        <v>148</v>
      </c>
      <c r="C23" s="140">
        <v>267529</v>
      </c>
      <c r="D23" s="139"/>
      <c r="E23" s="140"/>
      <c r="F23" s="140"/>
      <c r="G23" s="140"/>
      <c r="H23" s="141">
        <f t="shared" si="1"/>
        <v>267529</v>
      </c>
    </row>
    <row r="24" spans="1:8">
      <c r="A24" s="147" t="s">
        <v>149</v>
      </c>
      <c r="B24" s="150"/>
      <c r="C24" s="140">
        <f>SUM(C25:C52)</f>
        <v>62332728</v>
      </c>
      <c r="D24" s="139">
        <f>SUM(D25:D52)</f>
        <v>9450599</v>
      </c>
      <c r="E24" s="139">
        <f>SUM(E25:E52)</f>
        <v>1672106</v>
      </c>
      <c r="F24" s="139">
        <f>SUM(F25:F52)</f>
        <v>11154976</v>
      </c>
      <c r="G24" s="139">
        <f>SUM(G25:G52)</f>
        <v>315625</v>
      </c>
      <c r="H24" s="141">
        <f>C24+D24+E24-F24-G24</f>
        <v>61984832</v>
      </c>
    </row>
    <row r="25" spans="1:8">
      <c r="A25" s="151" t="s">
        <v>150</v>
      </c>
      <c r="B25" s="150" t="s">
        <v>133</v>
      </c>
      <c r="C25" s="140">
        <v>172448</v>
      </c>
      <c r="D25" s="139"/>
      <c r="E25" s="140"/>
      <c r="F25" s="140">
        <v>40375</v>
      </c>
      <c r="G25" s="140"/>
      <c r="H25" s="141">
        <f t="shared" si="1"/>
        <v>132073</v>
      </c>
    </row>
    <row r="26" spans="1:8">
      <c r="A26" s="151" t="s">
        <v>134</v>
      </c>
      <c r="B26" s="150" t="s">
        <v>135</v>
      </c>
      <c r="C26" s="140">
        <v>567858</v>
      </c>
      <c r="D26" s="139"/>
      <c r="E26" s="140">
        <v>19026</v>
      </c>
      <c r="F26" s="140">
        <v>35351</v>
      </c>
      <c r="G26" s="140">
        <v>6713</v>
      </c>
      <c r="H26" s="141">
        <f>C26+D26+E26-F26-G26</f>
        <v>544820</v>
      </c>
    </row>
    <row r="27" spans="1:8">
      <c r="A27" s="151" t="s">
        <v>151</v>
      </c>
      <c r="B27" s="150" t="s">
        <v>152</v>
      </c>
      <c r="C27" s="140">
        <v>507600</v>
      </c>
      <c r="D27" s="140">
        <v>478610</v>
      </c>
      <c r="E27" s="140"/>
      <c r="F27" s="140"/>
      <c r="G27" s="140"/>
      <c r="H27" s="141">
        <f>C27+D27+E27-F27-G27</f>
        <v>986210</v>
      </c>
    </row>
    <row r="28" spans="1:8">
      <c r="A28" s="151" t="s">
        <v>134</v>
      </c>
      <c r="B28" s="150" t="s">
        <v>137</v>
      </c>
      <c r="C28" s="140">
        <v>2832872</v>
      </c>
      <c r="D28" s="139"/>
      <c r="E28" s="140"/>
      <c r="F28" s="140">
        <v>25050</v>
      </c>
      <c r="G28" s="140"/>
      <c r="H28" s="141">
        <f t="shared" si="1"/>
        <v>2807822</v>
      </c>
    </row>
    <row r="29" spans="1:8">
      <c r="A29" s="151" t="s">
        <v>134</v>
      </c>
      <c r="B29" s="150" t="s">
        <v>138</v>
      </c>
      <c r="C29" s="140">
        <v>2412130</v>
      </c>
      <c r="D29" s="139"/>
      <c r="E29" s="140">
        <v>8300</v>
      </c>
      <c r="F29" s="140">
        <v>33150</v>
      </c>
      <c r="G29" s="140"/>
      <c r="H29" s="141">
        <f t="shared" si="1"/>
        <v>2387280</v>
      </c>
    </row>
    <row r="30" spans="1:8">
      <c r="A30" s="151" t="s">
        <v>134</v>
      </c>
      <c r="B30" s="150" t="s">
        <v>148</v>
      </c>
      <c r="C30" s="140">
        <v>8831394</v>
      </c>
      <c r="D30" s="139">
        <v>234870</v>
      </c>
      <c r="E30" s="140"/>
      <c r="F30" s="140"/>
      <c r="G30" s="140"/>
      <c r="H30" s="141">
        <f t="shared" si="1"/>
        <v>9066264</v>
      </c>
    </row>
    <row r="31" spans="1:8">
      <c r="A31" s="151" t="s">
        <v>134</v>
      </c>
      <c r="B31" s="150" t="s">
        <v>139</v>
      </c>
      <c r="C31" s="140">
        <v>9820</v>
      </c>
      <c r="D31" s="139"/>
      <c r="E31" s="140"/>
      <c r="F31" s="140"/>
      <c r="G31" s="140"/>
      <c r="H31" s="141">
        <f t="shared" si="1"/>
        <v>9820</v>
      </c>
    </row>
    <row r="32" spans="1:8">
      <c r="A32" s="151" t="s">
        <v>134</v>
      </c>
      <c r="B32" s="150" t="s">
        <v>141</v>
      </c>
      <c r="C32" s="140">
        <v>2802463</v>
      </c>
      <c r="D32" s="139">
        <f>1088860+5200000</f>
        <v>6288860</v>
      </c>
      <c r="E32" s="140"/>
      <c r="F32" s="140"/>
      <c r="G32" s="140"/>
      <c r="H32" s="141">
        <f t="shared" si="1"/>
        <v>9091323</v>
      </c>
    </row>
    <row r="33" spans="1:10">
      <c r="A33" s="151" t="s">
        <v>134</v>
      </c>
      <c r="B33" s="150" t="s">
        <v>142</v>
      </c>
      <c r="C33" s="140">
        <v>1142856</v>
      </c>
      <c r="D33" s="139"/>
      <c r="E33" s="140">
        <v>6713</v>
      </c>
      <c r="F33" s="140">
        <v>510929</v>
      </c>
      <c r="G33" s="140"/>
      <c r="H33" s="141">
        <f t="shared" si="1"/>
        <v>638640</v>
      </c>
    </row>
    <row r="34" spans="1:10">
      <c r="A34" s="151" t="s">
        <v>134</v>
      </c>
      <c r="B34" s="150" t="s">
        <v>143</v>
      </c>
      <c r="C34" s="140">
        <v>5348053</v>
      </c>
      <c r="D34" s="139">
        <v>38400</v>
      </c>
      <c r="E34" s="140">
        <v>7000</v>
      </c>
      <c r="F34" s="140">
        <v>228288</v>
      </c>
      <c r="G34" s="140"/>
      <c r="H34" s="141">
        <f t="shared" si="1"/>
        <v>5165165</v>
      </c>
    </row>
    <row r="35" spans="1:10">
      <c r="A35" s="151" t="s">
        <v>49</v>
      </c>
      <c r="B35" s="150" t="s">
        <v>153</v>
      </c>
      <c r="C35" s="140">
        <v>1847075</v>
      </c>
      <c r="D35" s="139">
        <v>50000</v>
      </c>
      <c r="E35" s="140">
        <v>3300</v>
      </c>
      <c r="F35" s="140">
        <v>78850</v>
      </c>
      <c r="G35" s="140"/>
      <c r="H35" s="141">
        <f t="shared" si="1"/>
        <v>1821525</v>
      </c>
      <c r="I35" s="145" t="s">
        <v>287</v>
      </c>
      <c r="J35" s="145" t="s">
        <v>288</v>
      </c>
    </row>
    <row r="36" spans="1:10">
      <c r="A36" s="151" t="s">
        <v>53</v>
      </c>
      <c r="B36" s="152" t="s">
        <v>154</v>
      </c>
      <c r="C36" s="153">
        <v>13402345</v>
      </c>
      <c r="D36" s="154">
        <v>576805</v>
      </c>
      <c r="E36" s="154">
        <v>1536783</v>
      </c>
      <c r="F36" s="153">
        <v>4743856</v>
      </c>
      <c r="G36" s="153">
        <v>149232</v>
      </c>
      <c r="H36" s="155">
        <f t="shared" si="1"/>
        <v>10622845</v>
      </c>
      <c r="I36" s="146">
        <v>10622845</v>
      </c>
      <c r="J36" s="144">
        <v>13402345</v>
      </c>
    </row>
    <row r="37" spans="1:10">
      <c r="A37" s="151" t="s">
        <v>54</v>
      </c>
      <c r="B37" s="150" t="s">
        <v>155</v>
      </c>
      <c r="C37" s="140">
        <v>178862</v>
      </c>
      <c r="D37" s="139"/>
      <c r="E37" s="140"/>
      <c r="F37" s="140">
        <v>126476</v>
      </c>
      <c r="G37" s="140"/>
      <c r="H37" s="141">
        <f t="shared" si="1"/>
        <v>52386</v>
      </c>
      <c r="I37" s="144">
        <v>503489</v>
      </c>
      <c r="J37" s="144" t="s">
        <v>286</v>
      </c>
    </row>
    <row r="38" spans="1:10">
      <c r="A38" s="151" t="s">
        <v>55</v>
      </c>
      <c r="B38" s="150" t="s">
        <v>156</v>
      </c>
      <c r="C38" s="140">
        <v>4030786</v>
      </c>
      <c r="D38" s="139">
        <v>187500</v>
      </c>
      <c r="E38" s="140"/>
      <c r="F38" s="140">
        <v>412479</v>
      </c>
      <c r="G38" s="140"/>
      <c r="H38" s="141">
        <f t="shared" si="1"/>
        <v>3805807</v>
      </c>
    </row>
    <row r="39" spans="1:10">
      <c r="A39" s="151" t="s">
        <v>56</v>
      </c>
      <c r="B39" s="150" t="s">
        <v>157</v>
      </c>
      <c r="C39" s="140">
        <v>416652</v>
      </c>
      <c r="D39" s="139"/>
      <c r="E39" s="140"/>
      <c r="F39" s="140">
        <v>23250</v>
      </c>
      <c r="G39" s="140"/>
      <c r="H39" s="141">
        <f t="shared" si="1"/>
        <v>393402</v>
      </c>
    </row>
    <row r="40" spans="1:10">
      <c r="A40" s="151" t="s">
        <v>57</v>
      </c>
      <c r="B40" s="150" t="s">
        <v>158</v>
      </c>
      <c r="C40" s="140">
        <v>2072476</v>
      </c>
      <c r="D40" s="139">
        <v>179000</v>
      </c>
      <c r="E40" s="140"/>
      <c r="F40" s="140">
        <v>645620</v>
      </c>
      <c r="G40" s="140">
        <v>32519</v>
      </c>
      <c r="H40" s="141">
        <f t="shared" si="1"/>
        <v>1573337</v>
      </c>
    </row>
    <row r="41" spans="1:10">
      <c r="A41" s="151" t="s">
        <v>58</v>
      </c>
      <c r="B41" s="150" t="s">
        <v>159</v>
      </c>
      <c r="C41" s="140">
        <v>192755</v>
      </c>
      <c r="D41" s="139"/>
      <c r="E41" s="140"/>
      <c r="F41" s="140">
        <v>450</v>
      </c>
      <c r="G41" s="140"/>
      <c r="H41" s="141">
        <f t="shared" si="1"/>
        <v>192305</v>
      </c>
    </row>
    <row r="42" spans="1:10">
      <c r="A42" s="151" t="s">
        <v>59</v>
      </c>
      <c r="B42" s="150" t="s">
        <v>160</v>
      </c>
      <c r="C42" s="140">
        <v>6005924</v>
      </c>
      <c r="D42" s="139">
        <v>912000</v>
      </c>
      <c r="E42" s="140"/>
      <c r="F42" s="140">
        <v>2531735</v>
      </c>
      <c r="G42" s="140"/>
      <c r="H42" s="141">
        <f t="shared" si="1"/>
        <v>4386189</v>
      </c>
    </row>
    <row r="43" spans="1:10">
      <c r="A43" s="151" t="s">
        <v>60</v>
      </c>
      <c r="B43" s="150" t="s">
        <v>161</v>
      </c>
      <c r="C43" s="140">
        <v>693988</v>
      </c>
      <c r="D43" s="139">
        <v>96600</v>
      </c>
      <c r="E43" s="140">
        <v>74184</v>
      </c>
      <c r="F43" s="140">
        <v>240732</v>
      </c>
      <c r="G43" s="140"/>
      <c r="H43" s="141">
        <f t="shared" si="1"/>
        <v>624040</v>
      </c>
      <c r="I43" s="144" t="s">
        <v>287</v>
      </c>
      <c r="J43" s="144" t="s">
        <v>288</v>
      </c>
    </row>
    <row r="44" spans="1:10">
      <c r="A44" s="151" t="s">
        <v>50</v>
      </c>
      <c r="B44" s="152" t="s">
        <v>145</v>
      </c>
      <c r="C44" s="153">
        <v>535111</v>
      </c>
      <c r="D44" s="154"/>
      <c r="E44" s="153"/>
      <c r="F44" s="153">
        <v>407950</v>
      </c>
      <c r="G44" s="153">
        <v>127161</v>
      </c>
      <c r="H44" s="155">
        <f t="shared" si="1"/>
        <v>0</v>
      </c>
      <c r="I44" s="146">
        <v>0</v>
      </c>
      <c r="J44" s="144">
        <v>535111</v>
      </c>
    </row>
    <row r="45" spans="1:10">
      <c r="A45" s="151" t="s">
        <v>51</v>
      </c>
      <c r="B45" s="150" t="s">
        <v>146</v>
      </c>
      <c r="C45" s="140">
        <v>394424</v>
      </c>
      <c r="D45" s="139"/>
      <c r="E45" s="140"/>
      <c r="F45" s="140">
        <v>116231</v>
      </c>
      <c r="G45" s="140"/>
      <c r="H45" s="141">
        <f t="shared" si="1"/>
        <v>278193</v>
      </c>
      <c r="I45" s="144">
        <f>C44-J44</f>
        <v>0</v>
      </c>
      <c r="J45" s="144" t="s">
        <v>286</v>
      </c>
    </row>
    <row r="46" spans="1:10">
      <c r="A46" s="151" t="s">
        <v>52</v>
      </c>
      <c r="B46" s="150" t="s">
        <v>147</v>
      </c>
      <c r="C46" s="140">
        <v>110519</v>
      </c>
      <c r="D46" s="139"/>
      <c r="E46" s="140"/>
      <c r="F46" s="140">
        <v>56994</v>
      </c>
      <c r="G46" s="140"/>
      <c r="H46" s="141">
        <f t="shared" si="1"/>
        <v>53525</v>
      </c>
    </row>
    <row r="47" spans="1:10">
      <c r="A47" s="151" t="s">
        <v>61</v>
      </c>
      <c r="B47" s="150" t="s">
        <v>162</v>
      </c>
      <c r="C47" s="140">
        <v>6868705</v>
      </c>
      <c r="D47" s="139">
        <v>349284</v>
      </c>
      <c r="E47" s="140"/>
      <c r="F47" s="140">
        <v>739043</v>
      </c>
      <c r="G47" s="140"/>
      <c r="H47" s="141">
        <f>C47+D47+E47-F47-G47</f>
        <v>6478946</v>
      </c>
    </row>
    <row r="48" spans="1:10">
      <c r="A48" s="151" t="s">
        <v>62</v>
      </c>
      <c r="B48" s="150" t="s">
        <v>163</v>
      </c>
      <c r="C48" s="140">
        <v>666439</v>
      </c>
      <c r="D48" s="139">
        <v>36750</v>
      </c>
      <c r="E48" s="140">
        <v>16800</v>
      </c>
      <c r="F48" s="140">
        <v>124429</v>
      </c>
      <c r="G48" s="140"/>
      <c r="H48" s="141">
        <f t="shared" si="1"/>
        <v>595560</v>
      </c>
    </row>
    <row r="49" spans="1:11">
      <c r="A49" s="151" t="s">
        <v>63</v>
      </c>
      <c r="B49" s="150" t="s">
        <v>164</v>
      </c>
      <c r="C49" s="140">
        <v>76750</v>
      </c>
      <c r="D49" s="139"/>
      <c r="E49" s="140"/>
      <c r="F49" s="140">
        <v>11838</v>
      </c>
      <c r="G49" s="140"/>
      <c r="H49" s="141">
        <f t="shared" si="1"/>
        <v>64912</v>
      </c>
    </row>
    <row r="50" spans="1:11">
      <c r="A50" s="151" t="s">
        <v>64</v>
      </c>
      <c r="B50" s="150" t="s">
        <v>165</v>
      </c>
      <c r="C50" s="140">
        <v>68714</v>
      </c>
      <c r="D50" s="139">
        <v>21920</v>
      </c>
      <c r="E50" s="140"/>
      <c r="F50" s="140">
        <v>21900</v>
      </c>
      <c r="G50" s="140"/>
      <c r="H50" s="141">
        <f t="shared" si="1"/>
        <v>68734</v>
      </c>
    </row>
    <row r="51" spans="1:11">
      <c r="A51" s="151" t="s">
        <v>65</v>
      </c>
      <c r="B51" s="150" t="s">
        <v>166</v>
      </c>
      <c r="C51" s="140">
        <v>59040</v>
      </c>
      <c r="D51" s="139"/>
      <c r="E51" s="140"/>
      <c r="F51" s="140"/>
      <c r="G51" s="140"/>
      <c r="H51" s="141">
        <f t="shared" si="1"/>
        <v>59040</v>
      </c>
    </row>
    <row r="52" spans="1:11">
      <c r="A52" s="151" t="s">
        <v>66</v>
      </c>
      <c r="B52" s="150" t="s">
        <v>167</v>
      </c>
      <c r="C52" s="140">
        <v>84669</v>
      </c>
      <c r="D52" s="139"/>
      <c r="E52" s="140"/>
      <c r="F52" s="140"/>
      <c r="G52" s="140"/>
      <c r="H52" s="141">
        <f t="shared" si="1"/>
        <v>84669</v>
      </c>
    </row>
    <row r="53" spans="1:11">
      <c r="A53" s="143" t="s">
        <v>174</v>
      </c>
      <c r="B53" s="142"/>
      <c r="C53" s="140">
        <f>C54+C58</f>
        <v>2523538</v>
      </c>
      <c r="D53" s="139">
        <f t="shared" ref="D53:H53" si="2">D54+D58</f>
        <v>11859</v>
      </c>
      <c r="E53" s="140">
        <f t="shared" si="2"/>
        <v>0</v>
      </c>
      <c r="F53" s="140">
        <f t="shared" si="2"/>
        <v>0</v>
      </c>
      <c r="G53" s="140">
        <f t="shared" si="2"/>
        <v>0</v>
      </c>
      <c r="H53" s="141">
        <f t="shared" si="2"/>
        <v>2535397</v>
      </c>
      <c r="K53" s="163">
        <f>H53-平衡表!B19</f>
        <v>0</v>
      </c>
    </row>
    <row r="54" spans="1:11">
      <c r="A54" s="149"/>
      <c r="B54" s="150" t="s">
        <v>168</v>
      </c>
      <c r="C54" s="140">
        <f>SUM(C55:C57)</f>
        <v>2479938</v>
      </c>
      <c r="D54" s="139">
        <f t="shared" ref="D54:G54" si="3">SUM(D55:D57)</f>
        <v>11859</v>
      </c>
      <c r="E54" s="140">
        <f t="shared" si="3"/>
        <v>0</v>
      </c>
      <c r="F54" s="140">
        <f t="shared" si="3"/>
        <v>0</v>
      </c>
      <c r="G54" s="140">
        <f t="shared" si="3"/>
        <v>0</v>
      </c>
      <c r="H54" s="141">
        <f>SUM(H55:H57)</f>
        <v>2491797</v>
      </c>
    </row>
    <row r="55" spans="1:11">
      <c r="A55" s="149"/>
      <c r="B55" s="150" t="s">
        <v>169</v>
      </c>
      <c r="C55" s="140">
        <v>2254157</v>
      </c>
      <c r="D55" s="139"/>
      <c r="E55" s="140"/>
      <c r="F55" s="140"/>
      <c r="G55" s="140"/>
      <c r="H55" s="141">
        <f t="shared" si="1"/>
        <v>2254157</v>
      </c>
    </row>
    <row r="56" spans="1:11">
      <c r="A56" s="149"/>
      <c r="B56" s="150" t="s">
        <v>170</v>
      </c>
      <c r="C56" s="140">
        <v>83346</v>
      </c>
      <c r="D56" s="139">
        <v>11859</v>
      </c>
      <c r="E56" s="140"/>
      <c r="F56" s="140"/>
      <c r="G56" s="140"/>
      <c r="H56" s="141">
        <f t="shared" si="1"/>
        <v>95205</v>
      </c>
    </row>
    <row r="57" spans="1:11">
      <c r="A57" s="149"/>
      <c r="B57" s="150" t="s">
        <v>171</v>
      </c>
      <c r="C57" s="140">
        <v>142435</v>
      </c>
      <c r="D57" s="139"/>
      <c r="E57" s="140"/>
      <c r="F57" s="140"/>
      <c r="G57" s="140"/>
      <c r="H57" s="141">
        <f t="shared" si="1"/>
        <v>142435</v>
      </c>
    </row>
    <row r="58" spans="1:11">
      <c r="A58" s="149"/>
      <c r="B58" s="150" t="s">
        <v>172</v>
      </c>
      <c r="C58" s="140">
        <v>43600</v>
      </c>
      <c r="D58" s="139"/>
      <c r="E58" s="140"/>
      <c r="F58" s="140"/>
      <c r="G58" s="140"/>
      <c r="H58" s="141">
        <f t="shared" si="1"/>
        <v>43600</v>
      </c>
    </row>
    <row r="59" spans="1:11">
      <c r="A59" s="143" t="s">
        <v>173</v>
      </c>
      <c r="B59" s="142"/>
      <c r="C59" s="140">
        <f>SUM(C60:C62)</f>
        <v>23373702</v>
      </c>
      <c r="D59" s="139">
        <f t="shared" ref="D59:G59" si="4">SUM(D60:D62)</f>
        <v>3450751</v>
      </c>
      <c r="E59" s="140">
        <f t="shared" si="4"/>
        <v>37770</v>
      </c>
      <c r="F59" s="140">
        <f>SUM(F60:F62)</f>
        <v>6628596</v>
      </c>
      <c r="G59" s="140">
        <f t="shared" si="4"/>
        <v>1988</v>
      </c>
      <c r="H59" s="141">
        <f t="shared" si="1"/>
        <v>20231639</v>
      </c>
      <c r="K59" s="163">
        <f>H59-平衡表!B20</f>
        <v>0</v>
      </c>
    </row>
    <row r="60" spans="1:11">
      <c r="A60" s="149"/>
      <c r="B60" s="150" t="s">
        <v>177</v>
      </c>
      <c r="C60" s="140">
        <v>1482200</v>
      </c>
      <c r="D60" s="139"/>
      <c r="E60" s="140"/>
      <c r="F60" s="140">
        <v>731000</v>
      </c>
      <c r="G60" s="140"/>
      <c r="H60" s="141">
        <f t="shared" si="1"/>
        <v>751200</v>
      </c>
    </row>
    <row r="61" spans="1:11">
      <c r="A61" s="149"/>
      <c r="B61" s="150" t="s">
        <v>178</v>
      </c>
      <c r="C61" s="140">
        <v>225640</v>
      </c>
      <c r="D61" s="139"/>
      <c r="E61" s="140"/>
      <c r="F61" s="140"/>
      <c r="G61" s="140"/>
      <c r="H61" s="141">
        <f t="shared" si="1"/>
        <v>225640</v>
      </c>
    </row>
    <row r="62" spans="1:11">
      <c r="A62" s="149"/>
      <c r="B62" s="150" t="s">
        <v>179</v>
      </c>
      <c r="C62" s="140">
        <f>SUM(C63:C73)</f>
        <v>21665862</v>
      </c>
      <c r="D62" s="139">
        <f>SUM(D63:D73)</f>
        <v>3450751</v>
      </c>
      <c r="E62" s="140">
        <f>SUM(E63:E73)</f>
        <v>37770</v>
      </c>
      <c r="F62" s="140">
        <f>SUM(F63:F73)</f>
        <v>5897596</v>
      </c>
      <c r="G62" s="140">
        <f>SUM(G63:G73)</f>
        <v>1988</v>
      </c>
      <c r="H62" s="141">
        <f t="shared" si="1"/>
        <v>19254799</v>
      </c>
    </row>
    <row r="63" spans="1:11">
      <c r="A63" s="149"/>
      <c r="B63" s="150" t="s">
        <v>285</v>
      </c>
      <c r="C63" s="140">
        <v>63725</v>
      </c>
      <c r="D63" s="139"/>
      <c r="E63" s="140"/>
      <c r="F63" s="140">
        <v>17650</v>
      </c>
      <c r="G63" s="140">
        <v>1988</v>
      </c>
      <c r="H63" s="141">
        <f t="shared" si="1"/>
        <v>44087</v>
      </c>
    </row>
    <row r="64" spans="1:11">
      <c r="A64" s="149"/>
      <c r="B64" s="150" t="s">
        <v>165</v>
      </c>
      <c r="C64" s="140">
        <v>110680</v>
      </c>
      <c r="D64" s="139"/>
      <c r="E64" s="140">
        <v>1988</v>
      </c>
      <c r="F64" s="140">
        <f>31815+32500</f>
        <v>64315</v>
      </c>
      <c r="G64" s="140"/>
      <c r="H64" s="141">
        <f t="shared" si="1"/>
        <v>48353</v>
      </c>
    </row>
    <row r="65" spans="1:11">
      <c r="A65" s="149"/>
      <c r="B65" s="150" t="s">
        <v>163</v>
      </c>
      <c r="C65" s="140">
        <v>19242661</v>
      </c>
      <c r="D65" s="139">
        <f>3280620-32519</f>
        <v>3248101</v>
      </c>
      <c r="E65" s="140">
        <f>3263+32519</f>
        <v>35782</v>
      </c>
      <c r="F65" s="140">
        <f>22741+10863+130608+950+5324234+278900</f>
        <v>5768296</v>
      </c>
      <c r="G65" s="140"/>
      <c r="H65" s="141">
        <f t="shared" si="1"/>
        <v>16758248</v>
      </c>
    </row>
    <row r="66" spans="1:11">
      <c r="A66" s="149"/>
      <c r="B66" s="150" t="s">
        <v>159</v>
      </c>
      <c r="C66" s="140">
        <v>117784</v>
      </c>
      <c r="D66" s="139">
        <v>30000</v>
      </c>
      <c r="E66" s="140"/>
      <c r="F66" s="140">
        <v>8175</v>
      </c>
      <c r="G66" s="140"/>
      <c r="H66" s="141">
        <f t="shared" si="1"/>
        <v>139609</v>
      </c>
    </row>
    <row r="67" spans="1:11">
      <c r="A67" s="149"/>
      <c r="B67" s="150" t="s">
        <v>167</v>
      </c>
      <c r="C67" s="140">
        <v>533352</v>
      </c>
      <c r="D67" s="139">
        <v>0</v>
      </c>
      <c r="E67" s="140"/>
      <c r="F67" s="140">
        <v>31635</v>
      </c>
      <c r="G67" s="140"/>
      <c r="H67" s="141">
        <f>C67+D67+E67-F67-G67</f>
        <v>501717</v>
      </c>
    </row>
    <row r="68" spans="1:11">
      <c r="A68" s="149"/>
      <c r="B68" s="150" t="s">
        <v>166</v>
      </c>
      <c r="C68" s="140">
        <v>155966</v>
      </c>
      <c r="D68" s="139"/>
      <c r="E68" s="140"/>
      <c r="F68" s="140">
        <v>1200</v>
      </c>
      <c r="G68" s="140"/>
      <c r="H68" s="141">
        <f t="shared" si="1"/>
        <v>154766</v>
      </c>
    </row>
    <row r="69" spans="1:11">
      <c r="A69" s="149"/>
      <c r="B69" s="150" t="s">
        <v>180</v>
      </c>
      <c r="C69" s="140">
        <v>226880</v>
      </c>
      <c r="D69" s="139">
        <v>24150</v>
      </c>
      <c r="E69" s="140"/>
      <c r="F69" s="140">
        <v>6325</v>
      </c>
      <c r="G69" s="140"/>
      <c r="H69" s="141">
        <f t="shared" si="1"/>
        <v>244705</v>
      </c>
    </row>
    <row r="70" spans="1:11">
      <c r="A70" s="149"/>
      <c r="B70" s="150" t="s">
        <v>181</v>
      </c>
      <c r="C70" s="140">
        <v>976844</v>
      </c>
      <c r="D70" s="139">
        <v>148500</v>
      </c>
      <c r="E70" s="140"/>
      <c r="F70" s="140"/>
      <c r="G70" s="140"/>
      <c r="H70" s="141">
        <f t="shared" si="1"/>
        <v>1125344</v>
      </c>
    </row>
    <row r="71" spans="1:11">
      <c r="A71" s="149"/>
      <c r="B71" s="150" t="s">
        <v>182</v>
      </c>
      <c r="C71" s="140">
        <v>81901</v>
      </c>
      <c r="D71" s="139"/>
      <c r="E71" s="140"/>
      <c r="F71" s="140"/>
      <c r="G71" s="140"/>
      <c r="H71" s="141">
        <f t="shared" si="1"/>
        <v>81901</v>
      </c>
    </row>
    <row r="72" spans="1:11">
      <c r="A72" s="149"/>
      <c r="B72" s="150" t="s">
        <v>183</v>
      </c>
      <c r="C72" s="140">
        <v>135165</v>
      </c>
      <c r="D72" s="139"/>
      <c r="E72" s="140"/>
      <c r="F72" s="140"/>
      <c r="G72" s="140"/>
      <c r="H72" s="141">
        <f t="shared" si="1"/>
        <v>135165</v>
      </c>
    </row>
    <row r="73" spans="1:11">
      <c r="A73" s="149"/>
      <c r="B73" s="150" t="s">
        <v>184</v>
      </c>
      <c r="C73" s="140">
        <v>20904</v>
      </c>
      <c r="D73" s="139"/>
      <c r="E73" s="140"/>
      <c r="F73" s="140"/>
      <c r="G73" s="140"/>
      <c r="H73" s="141">
        <f t="shared" ref="H73:H81" si="5">C73+D73+E73-F73-G73</f>
        <v>20904</v>
      </c>
    </row>
    <row r="74" spans="1:11">
      <c r="A74" s="143" t="s">
        <v>175</v>
      </c>
      <c r="B74" s="142"/>
      <c r="C74" s="140">
        <f>C75</f>
        <v>2394277</v>
      </c>
      <c r="D74" s="139"/>
      <c r="E74" s="140"/>
      <c r="F74" s="140"/>
      <c r="G74" s="140"/>
      <c r="H74" s="141">
        <f t="shared" si="5"/>
        <v>2394277</v>
      </c>
      <c r="K74" s="163">
        <f>H74-平衡表!B21</f>
        <v>0</v>
      </c>
    </row>
    <row r="75" spans="1:11">
      <c r="A75" s="151"/>
      <c r="B75" s="150" t="s">
        <v>176</v>
      </c>
      <c r="C75" s="140">
        <v>2394277</v>
      </c>
      <c r="D75" s="139"/>
      <c r="E75" s="140"/>
      <c r="F75" s="140"/>
      <c r="G75" s="140"/>
      <c r="H75" s="141">
        <f t="shared" si="5"/>
        <v>2394277</v>
      </c>
    </row>
    <row r="76" spans="1:11">
      <c r="A76" s="143" t="s">
        <v>67</v>
      </c>
      <c r="B76" s="142"/>
      <c r="C76" s="140">
        <f>C77+C80+C81</f>
        <v>343971492</v>
      </c>
      <c r="D76" s="139"/>
      <c r="E76" s="140"/>
      <c r="F76" s="140">
        <f t="shared" ref="F76" si="6">F77+F80+F81</f>
        <v>230000000</v>
      </c>
      <c r="G76" s="140"/>
      <c r="H76" s="141">
        <f t="shared" si="5"/>
        <v>113971492</v>
      </c>
    </row>
    <row r="77" spans="1:11">
      <c r="A77" s="214" t="s">
        <v>187</v>
      </c>
      <c r="B77" s="215"/>
      <c r="C77" s="140">
        <f>SUM(C78:C79)</f>
        <v>345100</v>
      </c>
      <c r="D77" s="139"/>
      <c r="E77" s="140"/>
      <c r="F77" s="140"/>
      <c r="G77" s="140"/>
      <c r="H77" s="141">
        <f t="shared" si="5"/>
        <v>345100</v>
      </c>
      <c r="K77" s="163">
        <f>H77-平衡表!B23</f>
        <v>0</v>
      </c>
    </row>
    <row r="78" spans="1:11">
      <c r="A78" s="149"/>
      <c r="B78" s="150" t="s">
        <v>188</v>
      </c>
      <c r="C78" s="140">
        <v>45100</v>
      </c>
      <c r="D78" s="139"/>
      <c r="E78" s="140"/>
      <c r="F78" s="140"/>
      <c r="G78" s="140"/>
      <c r="H78" s="141">
        <f t="shared" si="5"/>
        <v>45100</v>
      </c>
    </row>
    <row r="79" spans="1:11">
      <c r="A79" s="149"/>
      <c r="B79" s="150" t="s">
        <v>189</v>
      </c>
      <c r="C79" s="140">
        <v>300000</v>
      </c>
      <c r="D79" s="139"/>
      <c r="E79" s="140"/>
      <c r="F79" s="140"/>
      <c r="G79" s="140"/>
      <c r="H79" s="141">
        <f t="shared" si="5"/>
        <v>300000</v>
      </c>
    </row>
    <row r="80" spans="1:11">
      <c r="A80" s="214" t="s">
        <v>185</v>
      </c>
      <c r="B80" s="215"/>
      <c r="C80" s="140">
        <v>113626392</v>
      </c>
      <c r="D80" s="139"/>
      <c r="E80" s="140"/>
      <c r="F80" s="140"/>
      <c r="G80" s="140"/>
      <c r="H80" s="141">
        <f t="shared" si="5"/>
        <v>113626392</v>
      </c>
      <c r="K80" s="163">
        <f>H80-平衡表!B24</f>
        <v>0</v>
      </c>
    </row>
    <row r="81" spans="1:8">
      <c r="A81" s="214" t="s">
        <v>186</v>
      </c>
      <c r="B81" s="215"/>
      <c r="C81" s="140">
        <v>230000000</v>
      </c>
      <c r="D81" s="139"/>
      <c r="E81" s="140"/>
      <c r="F81" s="140">
        <v>230000000</v>
      </c>
      <c r="G81" s="140"/>
      <c r="H81" s="141">
        <f t="shared" si="5"/>
        <v>0</v>
      </c>
    </row>
    <row r="82" spans="1:8" ht="17.25" thickBot="1">
      <c r="A82" s="32" t="s">
        <v>68</v>
      </c>
      <c r="B82" s="33"/>
      <c r="C82" s="26">
        <f>C5+C76</f>
        <v>684732192</v>
      </c>
      <c r="D82" s="136">
        <f>D5+D76</f>
        <v>17249831</v>
      </c>
      <c r="E82" s="26">
        <f>E5+E76</f>
        <v>1732776</v>
      </c>
      <c r="F82" s="26">
        <f>F5+F76</f>
        <v>254069752</v>
      </c>
      <c r="G82" s="26">
        <f>G5+G76</f>
        <v>1732776</v>
      </c>
      <c r="H82" s="27">
        <f>C82+D82+E82-F82-G82</f>
        <v>447912271</v>
      </c>
    </row>
  </sheetData>
  <sheetProtection algorithmName="SHA-512" hashValue="CaslLJ88mLI97bfPhijA9+xnKx3nCpUqC6oCq+MHGq9UPx3AKdHOlQ5r4bg2+qGNpnGLihgb1Tf04cT86lltWA==" saltValue="MAUIN0HozhPeIG6Dr2n5pg==" spinCount="100000" sheet="1" objects="1" scenarios="1"/>
  <mergeCells count="8">
    <mergeCell ref="A80:B80"/>
    <mergeCell ref="A81:B81"/>
    <mergeCell ref="A77:B77"/>
    <mergeCell ref="A1:H1"/>
    <mergeCell ref="A6:B6"/>
    <mergeCell ref="A4:B4"/>
    <mergeCell ref="A2:H2"/>
    <mergeCell ref="A3:H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95" fitToHeight="2" orientation="portrait" r:id="rId1"/>
  <headerFooter>
    <oddHeader>&amp;R
&amp;"標楷體,標準"全&amp;N頁第&amp;P頁
單位：新臺幣元</oddHeader>
    <oddFooter>&amp;C～    　   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1" sqref="F11"/>
    </sheetView>
  </sheetViews>
  <sheetFormatPr defaultColWidth="8.75" defaultRowHeight="16.5"/>
  <cols>
    <col min="1" max="1" width="2.375" style="18" customWidth="1"/>
    <col min="2" max="2" width="18.5" style="18" customWidth="1"/>
    <col min="3" max="4" width="14.75" style="3" bestFit="1" customWidth="1"/>
    <col min="5" max="5" width="14.875" style="3" customWidth="1"/>
    <col min="6" max="6" width="12.25" style="3" customWidth="1"/>
    <col min="7" max="7" width="21.125" style="3" customWidth="1"/>
    <col min="8" max="8" width="17.875" style="3" customWidth="1"/>
    <col min="9" max="9" width="8.75" style="3"/>
    <col min="10" max="10" width="23.125" style="3" customWidth="1"/>
    <col min="11" max="11" width="17.875" style="3" customWidth="1"/>
    <col min="12" max="16384" width="8.75" style="3"/>
  </cols>
  <sheetData>
    <row r="1" spans="1:11">
      <c r="A1" s="193" t="s">
        <v>200</v>
      </c>
      <c r="B1" s="193"/>
      <c r="C1" s="193"/>
      <c r="D1" s="193"/>
      <c r="E1" s="193"/>
      <c r="F1" s="193"/>
      <c r="G1" s="193"/>
    </row>
    <row r="2" spans="1:11">
      <c r="A2" s="193" t="s">
        <v>307</v>
      </c>
      <c r="B2" s="193"/>
      <c r="C2" s="193"/>
      <c r="D2" s="193"/>
      <c r="E2" s="193"/>
      <c r="F2" s="193"/>
      <c r="G2" s="193"/>
    </row>
    <row r="3" spans="1:11" ht="17.25" thickBot="1">
      <c r="A3" s="206" t="s">
        <v>308</v>
      </c>
      <c r="B3" s="206"/>
      <c r="C3" s="206"/>
      <c r="D3" s="206"/>
      <c r="E3" s="206"/>
      <c r="F3" s="206"/>
      <c r="G3" s="206"/>
    </row>
    <row r="4" spans="1:11" ht="24" customHeight="1">
      <c r="A4" s="225" t="s">
        <v>197</v>
      </c>
      <c r="B4" s="226"/>
      <c r="C4" s="229" t="s">
        <v>69</v>
      </c>
      <c r="D4" s="229" t="s">
        <v>70</v>
      </c>
      <c r="E4" s="231" t="s">
        <v>196</v>
      </c>
      <c r="F4" s="232"/>
      <c r="G4" s="45" t="s">
        <v>195</v>
      </c>
    </row>
    <row r="5" spans="1:11" ht="23.1" customHeight="1">
      <c r="A5" s="227"/>
      <c r="B5" s="228"/>
      <c r="C5" s="230"/>
      <c r="D5" s="230"/>
      <c r="E5" s="34" t="s">
        <v>71</v>
      </c>
      <c r="F5" s="35" t="s">
        <v>72</v>
      </c>
      <c r="G5" s="46"/>
      <c r="K5" s="6"/>
    </row>
    <row r="6" spans="1:11" ht="29.45" customHeight="1">
      <c r="A6" s="221" t="s">
        <v>73</v>
      </c>
      <c r="B6" s="222"/>
      <c r="C6" s="38">
        <f>SUM(C7:C9)</f>
        <v>63922760</v>
      </c>
      <c r="D6" s="38">
        <f>SUM(D7:D9)</f>
        <v>55275432</v>
      </c>
      <c r="E6" s="38">
        <f>D6-C6</f>
        <v>-8647328</v>
      </c>
      <c r="F6" s="39">
        <f>SUM(E6/C6*100)</f>
        <v>-13.527776335064381</v>
      </c>
      <c r="G6" s="191" t="s">
        <v>318</v>
      </c>
      <c r="J6" s="6"/>
      <c r="K6" s="6"/>
    </row>
    <row r="7" spans="1:11" ht="29.45" customHeight="1">
      <c r="A7" s="168"/>
      <c r="B7" s="125" t="s">
        <v>279</v>
      </c>
      <c r="C7" s="40">
        <v>50524800</v>
      </c>
      <c r="D7" s="47">
        <v>43993360</v>
      </c>
      <c r="E7" s="38">
        <f t="shared" ref="E7:E9" si="0">D7-C7</f>
        <v>-6531440</v>
      </c>
      <c r="F7" s="39">
        <f>SUM(E7/C7*100)</f>
        <v>-12.92719614921781</v>
      </c>
      <c r="G7" s="191" t="s">
        <v>318</v>
      </c>
      <c r="J7" s="6"/>
      <c r="K7" s="6"/>
    </row>
    <row r="8" spans="1:11" ht="29.45" customHeight="1">
      <c r="A8" s="168"/>
      <c r="B8" s="125" t="s">
        <v>280</v>
      </c>
      <c r="C8" s="40">
        <v>7551400</v>
      </c>
      <c r="D8" s="41">
        <v>6370462</v>
      </c>
      <c r="E8" s="38">
        <f t="shared" si="0"/>
        <v>-1180938</v>
      </c>
      <c r="F8" s="39">
        <f>SUM(E8/C8*100)</f>
        <v>-15.638663029372038</v>
      </c>
      <c r="G8" s="191" t="s">
        <v>318</v>
      </c>
      <c r="J8" s="6"/>
      <c r="K8" s="6"/>
    </row>
    <row r="9" spans="1:11" ht="29.45" customHeight="1">
      <c r="A9" s="167"/>
      <c r="B9" s="125" t="s">
        <v>281</v>
      </c>
      <c r="C9" s="40">
        <v>5846560</v>
      </c>
      <c r="D9" s="38">
        <v>4911610</v>
      </c>
      <c r="E9" s="38">
        <f t="shared" si="0"/>
        <v>-934950</v>
      </c>
      <c r="F9" s="39">
        <f>SUM(E9/C9*100)</f>
        <v>-15.99145480419255</v>
      </c>
      <c r="G9" s="191" t="s">
        <v>318</v>
      </c>
      <c r="J9" s="6"/>
      <c r="K9" s="6"/>
    </row>
    <row r="10" spans="1:11" ht="35.1" customHeight="1">
      <c r="A10" s="223" t="s">
        <v>74</v>
      </c>
      <c r="B10" s="224"/>
      <c r="C10" s="40">
        <f>SUM(C11:C12)</f>
        <v>56286130</v>
      </c>
      <c r="D10" s="40">
        <f>D11+D12</f>
        <v>48580618</v>
      </c>
      <c r="E10" s="40">
        <f t="shared" ref="E10:E20" si="1">D10-C10</f>
        <v>-7705512</v>
      </c>
      <c r="F10" s="39">
        <f>SUM(E10/C10*100)</f>
        <v>-13.689894828441748</v>
      </c>
      <c r="G10" s="169" t="s">
        <v>299</v>
      </c>
      <c r="J10" s="6"/>
      <c r="K10" s="6"/>
    </row>
    <row r="11" spans="1:11" ht="27" customHeight="1">
      <c r="A11" s="168"/>
      <c r="B11" s="125" t="s">
        <v>277</v>
      </c>
      <c r="C11" s="40">
        <v>44000000</v>
      </c>
      <c r="D11" s="40">
        <v>41374092</v>
      </c>
      <c r="E11" s="40">
        <f t="shared" si="1"/>
        <v>-2625908</v>
      </c>
      <c r="F11" s="39">
        <f t="shared" ref="F11:F18" si="2">SUM(E11/C11*100)</f>
        <v>-5.967972727272727</v>
      </c>
      <c r="G11" s="46"/>
      <c r="J11" s="6"/>
      <c r="K11" s="6"/>
    </row>
    <row r="12" spans="1:11" ht="32.450000000000003" customHeight="1">
      <c r="A12" s="126"/>
      <c r="B12" s="125" t="s">
        <v>278</v>
      </c>
      <c r="C12" s="40">
        <v>12286130</v>
      </c>
      <c r="D12" s="40">
        <f>48580618-41374092</f>
        <v>7206526</v>
      </c>
      <c r="E12" s="40">
        <f t="shared" si="1"/>
        <v>-5079604</v>
      </c>
      <c r="F12" s="39">
        <f>SUM(E12/C12*100)</f>
        <v>-41.344214980632628</v>
      </c>
      <c r="G12" s="169" t="s">
        <v>299</v>
      </c>
      <c r="J12" s="6"/>
      <c r="K12" s="6"/>
    </row>
    <row r="13" spans="1:11" ht="27" customHeight="1">
      <c r="A13" s="223" t="s">
        <v>75</v>
      </c>
      <c r="B13" s="224"/>
      <c r="C13" s="40">
        <f>SUM(C14:C15)</f>
        <v>16982180</v>
      </c>
      <c r="D13" s="40">
        <f>SUM(D14:D15)</f>
        <v>23092723</v>
      </c>
      <c r="E13" s="40">
        <f t="shared" ref="E13:F13" si="3">E14</f>
        <v>910543</v>
      </c>
      <c r="F13" s="42">
        <f t="shared" si="3"/>
        <v>5.3617556756553046</v>
      </c>
      <c r="G13" s="46"/>
      <c r="J13" s="6"/>
      <c r="K13" s="6"/>
    </row>
    <row r="14" spans="1:11" ht="27" customHeight="1">
      <c r="A14" s="168"/>
      <c r="B14" s="125" t="s">
        <v>276</v>
      </c>
      <c r="C14" s="40">
        <v>16982180</v>
      </c>
      <c r="D14" s="40">
        <f>23092723-5200000</f>
        <v>17892723</v>
      </c>
      <c r="E14" s="40">
        <f t="shared" si="1"/>
        <v>910543</v>
      </c>
      <c r="F14" s="39">
        <f>SUM(E14/C14*100)</f>
        <v>5.3617556756553046</v>
      </c>
      <c r="G14" s="46"/>
      <c r="J14" s="6"/>
    </row>
    <row r="15" spans="1:11" ht="29.1" customHeight="1">
      <c r="A15" s="126"/>
      <c r="B15" s="125" t="s">
        <v>298</v>
      </c>
      <c r="C15" s="40">
        <v>0</v>
      </c>
      <c r="D15" s="40">
        <v>5200000</v>
      </c>
      <c r="E15" s="40">
        <f t="shared" si="1"/>
        <v>5200000</v>
      </c>
      <c r="F15" s="39" t="e">
        <f>SUM(E15/C15*100)</f>
        <v>#DIV/0!</v>
      </c>
      <c r="G15" s="169" t="s">
        <v>316</v>
      </c>
      <c r="J15" s="6"/>
    </row>
    <row r="16" spans="1:11" ht="30.6" customHeight="1">
      <c r="A16" s="223" t="s">
        <v>76</v>
      </c>
      <c r="B16" s="224"/>
      <c r="C16" s="40">
        <f>C17+C18</f>
        <v>19765920</v>
      </c>
      <c r="D16" s="40">
        <f>D17+D18</f>
        <v>104208136</v>
      </c>
      <c r="E16" s="40">
        <f t="shared" si="1"/>
        <v>84442216</v>
      </c>
      <c r="F16" s="39">
        <f t="shared" si="2"/>
        <v>427.21115940973152</v>
      </c>
      <c r="G16" s="192" t="s">
        <v>319</v>
      </c>
      <c r="J16" s="6"/>
    </row>
    <row r="17" spans="1:10" ht="27.6" customHeight="1">
      <c r="A17" s="168"/>
      <c r="B17" s="125" t="s">
        <v>275</v>
      </c>
      <c r="C17" s="40">
        <v>16867050</v>
      </c>
      <c r="D17" s="40">
        <v>17232568</v>
      </c>
      <c r="E17" s="40">
        <f t="shared" si="1"/>
        <v>365518</v>
      </c>
      <c r="F17" s="39">
        <f t="shared" si="2"/>
        <v>2.1670535155821558</v>
      </c>
      <c r="G17" s="170"/>
      <c r="J17" s="6"/>
    </row>
    <row r="18" spans="1:10" ht="171.6" customHeight="1">
      <c r="A18" s="126"/>
      <c r="B18" s="125" t="s">
        <v>274</v>
      </c>
      <c r="C18" s="40">
        <v>2898870</v>
      </c>
      <c r="D18" s="40">
        <f>86984413-8845</f>
        <v>86975568</v>
      </c>
      <c r="E18" s="40">
        <f t="shared" si="1"/>
        <v>84076698</v>
      </c>
      <c r="F18" s="39">
        <f t="shared" si="2"/>
        <v>2900.3266100239061</v>
      </c>
      <c r="G18" s="171" t="s">
        <v>297</v>
      </c>
      <c r="J18" s="6"/>
    </row>
    <row r="19" spans="1:10" ht="30" customHeight="1">
      <c r="A19" s="223" t="s">
        <v>77</v>
      </c>
      <c r="B19" s="224"/>
      <c r="C19" s="40">
        <f>C20</f>
        <v>13088068</v>
      </c>
      <c r="D19" s="40">
        <f>D20</f>
        <v>12168272</v>
      </c>
      <c r="E19" s="40">
        <f t="shared" ref="E19:F19" si="4">E20</f>
        <v>-919796</v>
      </c>
      <c r="F19" s="39">
        <f t="shared" si="4"/>
        <v>-7.027744660250848</v>
      </c>
      <c r="G19" s="132"/>
      <c r="J19" s="6"/>
    </row>
    <row r="20" spans="1:10" ht="30" customHeight="1">
      <c r="A20" s="126"/>
      <c r="B20" s="125" t="s">
        <v>273</v>
      </c>
      <c r="C20" s="40">
        <v>13088068</v>
      </c>
      <c r="D20" s="40">
        <f>11182561+985711</f>
        <v>12168272</v>
      </c>
      <c r="E20" s="40">
        <f t="shared" si="1"/>
        <v>-919796</v>
      </c>
      <c r="F20" s="39">
        <f>SUM(E20/C20*100)</f>
        <v>-7.027744660250848</v>
      </c>
      <c r="G20" s="48"/>
      <c r="J20" s="6"/>
    </row>
    <row r="21" spans="1:10" ht="30" customHeight="1" thickBot="1">
      <c r="A21" s="219" t="s">
        <v>272</v>
      </c>
      <c r="B21" s="220"/>
      <c r="C21" s="49">
        <f>SUM(C6+C10+C13+C16+C19)</f>
        <v>170045058</v>
      </c>
      <c r="D21" s="49">
        <f>SUM(D6+D10+D13+D16+D19)</f>
        <v>243325181</v>
      </c>
      <c r="E21" s="50">
        <f>SUM(D21-C21)</f>
        <v>73280123</v>
      </c>
      <c r="F21" s="51">
        <f>SUM(E21/C21*100)</f>
        <v>43.094532626758259</v>
      </c>
      <c r="G21" s="133"/>
      <c r="J21" s="6"/>
    </row>
    <row r="22" spans="1:10">
      <c r="C22" s="172">
        <f>C21-收支餘絀表!C6</f>
        <v>0</v>
      </c>
      <c r="D22" s="172">
        <f>D21-收支餘絀表!D6</f>
        <v>0</v>
      </c>
      <c r="J22" s="6"/>
    </row>
    <row r="23" spans="1:10">
      <c r="J23" s="6"/>
    </row>
    <row r="24" spans="1:10">
      <c r="J24" s="6"/>
    </row>
    <row r="25" spans="1:10">
      <c r="J25" s="6"/>
    </row>
    <row r="26" spans="1:10">
      <c r="J26" s="6"/>
    </row>
    <row r="27" spans="1:10">
      <c r="J27" s="6"/>
    </row>
  </sheetData>
  <sheetProtection algorithmName="SHA-512" hashValue="JXeuSF+rmlPfR+NxTi0vK9zQgkXZQDnwUfVzJPliFy5ZZ1/sM4s7QucO20ywKSsWmHNdbuzcORzt0df2qg3pAg==" saltValue="g07zMdVLlblubuXJssYVnw==" spinCount="100000" sheet="1" objects="1" scenarios="1"/>
  <mergeCells count="13">
    <mergeCell ref="A1:G1"/>
    <mergeCell ref="A4:B5"/>
    <mergeCell ref="C4:C5"/>
    <mergeCell ref="D4:D5"/>
    <mergeCell ref="E4:F4"/>
    <mergeCell ref="A2:G2"/>
    <mergeCell ref="A3:G3"/>
    <mergeCell ref="A21:B21"/>
    <mergeCell ref="A6:B6"/>
    <mergeCell ref="A10:B10"/>
    <mergeCell ref="A13:B13"/>
    <mergeCell ref="A16:B16"/>
    <mergeCell ref="A19:B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
&amp;"標楷體,標準"全&amp;N頁第&amp;P頁
單位：新臺幣元</oddHeader>
    <oddFooter>&amp;C～ 　　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1" sqref="F11"/>
    </sheetView>
  </sheetViews>
  <sheetFormatPr defaultColWidth="8.75" defaultRowHeight="16.5"/>
  <cols>
    <col min="1" max="1" width="1.875" style="3" customWidth="1"/>
    <col min="2" max="2" width="21.75" style="3" customWidth="1"/>
    <col min="3" max="4" width="14.75" style="3" bestFit="1" customWidth="1"/>
    <col min="5" max="5" width="14.625" style="3" customWidth="1"/>
    <col min="6" max="6" width="9.5" style="3" customWidth="1"/>
    <col min="7" max="7" width="22.625" style="3" customWidth="1"/>
    <col min="8" max="11" width="11.125" style="3" bestFit="1" customWidth="1"/>
    <col min="12" max="16384" width="8.75" style="3"/>
  </cols>
  <sheetData>
    <row r="1" spans="1:12" ht="17.45" customHeight="1">
      <c r="A1" s="235" t="s">
        <v>309</v>
      </c>
      <c r="B1" s="235"/>
      <c r="C1" s="235"/>
      <c r="D1" s="235"/>
      <c r="E1" s="235"/>
      <c r="F1" s="235"/>
      <c r="G1" s="235"/>
      <c r="K1" s="6"/>
    </row>
    <row r="2" spans="1:12" ht="17.45" customHeight="1">
      <c r="A2" s="235" t="s">
        <v>310</v>
      </c>
      <c r="B2" s="235"/>
      <c r="C2" s="235"/>
      <c r="D2" s="235"/>
      <c r="E2" s="235"/>
      <c r="F2" s="235"/>
      <c r="G2" s="235"/>
      <c r="K2" s="6"/>
    </row>
    <row r="3" spans="1:12" ht="17.45" customHeight="1" thickBot="1">
      <c r="A3" s="245" t="s">
        <v>311</v>
      </c>
      <c r="B3" s="245"/>
      <c r="C3" s="245"/>
      <c r="D3" s="245"/>
      <c r="E3" s="245"/>
      <c r="F3" s="245"/>
      <c r="G3" s="245"/>
      <c r="K3" s="6"/>
    </row>
    <row r="4" spans="1:12">
      <c r="A4" s="241" t="s">
        <v>78</v>
      </c>
      <c r="B4" s="242"/>
      <c r="C4" s="236" t="s">
        <v>69</v>
      </c>
      <c r="D4" s="236" t="s">
        <v>70</v>
      </c>
      <c r="E4" s="238" t="s">
        <v>79</v>
      </c>
      <c r="F4" s="238"/>
      <c r="G4" s="239" t="s">
        <v>80</v>
      </c>
      <c r="K4" s="6"/>
    </row>
    <row r="5" spans="1:12">
      <c r="A5" s="243"/>
      <c r="B5" s="244"/>
      <c r="C5" s="237"/>
      <c r="D5" s="237"/>
      <c r="E5" s="59" t="s">
        <v>81</v>
      </c>
      <c r="F5" s="59" t="s">
        <v>82</v>
      </c>
      <c r="G5" s="240"/>
      <c r="K5" s="6"/>
      <c r="L5" s="21"/>
    </row>
    <row r="6" spans="1:12">
      <c r="A6" s="60" t="s">
        <v>83</v>
      </c>
      <c r="B6" s="61"/>
      <c r="C6" s="65">
        <f>SUM(C7:C11)</f>
        <v>2975127</v>
      </c>
      <c r="D6" s="65">
        <f>SUM(D7:D11)</f>
        <v>2044056</v>
      </c>
      <c r="E6" s="37">
        <f>D6-C6</f>
        <v>-931071</v>
      </c>
      <c r="F6" s="69">
        <f>E6/C6*100</f>
        <v>-31.295168239876819</v>
      </c>
      <c r="G6" s="186"/>
      <c r="K6" s="6"/>
    </row>
    <row r="7" spans="1:12">
      <c r="A7" s="178"/>
      <c r="B7" s="31" t="s">
        <v>202</v>
      </c>
      <c r="C7" s="65">
        <v>1099032</v>
      </c>
      <c r="D7" s="7">
        <f>1164347-D9</f>
        <v>1120732</v>
      </c>
      <c r="E7" s="37">
        <f t="shared" ref="E7:E35" si="0">D7-C7</f>
        <v>21700</v>
      </c>
      <c r="F7" s="69">
        <f t="shared" ref="F7:F35" si="1">E7/C7*100</f>
        <v>1.9744648017528152</v>
      </c>
      <c r="G7" s="186"/>
      <c r="K7" s="6"/>
      <c r="L7" s="43"/>
    </row>
    <row r="8" spans="1:12" ht="45.95" customHeight="1">
      <c r="A8" s="177"/>
      <c r="B8" s="31" t="s">
        <v>203</v>
      </c>
      <c r="C8" s="65">
        <v>564200</v>
      </c>
      <c r="D8" s="7">
        <v>305074</v>
      </c>
      <c r="E8" s="37">
        <f t="shared" si="0"/>
        <v>-259126</v>
      </c>
      <c r="F8" s="69">
        <f t="shared" si="1"/>
        <v>-45.928039702233256</v>
      </c>
      <c r="G8" s="187" t="s">
        <v>293</v>
      </c>
      <c r="K8" s="6"/>
    </row>
    <row r="9" spans="1:12">
      <c r="A9" s="177"/>
      <c r="B9" s="29" t="s">
        <v>201</v>
      </c>
      <c r="C9" s="65">
        <v>40260</v>
      </c>
      <c r="D9" s="7">
        <v>43615</v>
      </c>
      <c r="E9" s="37">
        <f t="shared" si="0"/>
        <v>3355</v>
      </c>
      <c r="F9" s="69">
        <f t="shared" si="1"/>
        <v>8.3333333333333321</v>
      </c>
      <c r="G9" s="188"/>
      <c r="K9" s="6"/>
    </row>
    <row r="10" spans="1:12">
      <c r="A10" s="177"/>
      <c r="B10" s="29" t="s">
        <v>283</v>
      </c>
      <c r="C10" s="65">
        <v>31635</v>
      </c>
      <c r="D10" s="7">
        <v>31635</v>
      </c>
      <c r="E10" s="37">
        <f t="shared" si="0"/>
        <v>0</v>
      </c>
      <c r="F10" s="69">
        <f t="shared" si="1"/>
        <v>0</v>
      </c>
      <c r="G10" s="188"/>
      <c r="K10" s="6"/>
    </row>
    <row r="11" spans="1:12" ht="140.44999999999999" customHeight="1">
      <c r="A11" s="30"/>
      <c r="B11" s="31" t="s">
        <v>204</v>
      </c>
      <c r="C11" s="65">
        <v>1240000</v>
      </c>
      <c r="D11" s="7">
        <v>543000</v>
      </c>
      <c r="E11" s="37">
        <f t="shared" si="0"/>
        <v>-697000</v>
      </c>
      <c r="F11" s="69">
        <f t="shared" si="1"/>
        <v>-56.20967741935484</v>
      </c>
      <c r="G11" s="187" t="s">
        <v>290</v>
      </c>
      <c r="K11" s="6"/>
    </row>
    <row r="12" spans="1:12">
      <c r="A12" s="28" t="s">
        <v>84</v>
      </c>
      <c r="B12" s="20"/>
      <c r="C12" s="65">
        <f>SUM(C13:C17)</f>
        <v>31493489</v>
      </c>
      <c r="D12" s="65">
        <f>SUM(D13:D17)</f>
        <v>31737950</v>
      </c>
      <c r="E12" s="37">
        <f t="shared" si="0"/>
        <v>244461</v>
      </c>
      <c r="F12" s="69">
        <f t="shared" si="1"/>
        <v>0.77622711157852342</v>
      </c>
      <c r="G12" s="188"/>
      <c r="K12" s="6"/>
    </row>
    <row r="13" spans="1:12">
      <c r="A13" s="178"/>
      <c r="B13" s="31" t="s">
        <v>202</v>
      </c>
      <c r="C13" s="65">
        <v>16916060</v>
      </c>
      <c r="D13" s="7">
        <v>15775086</v>
      </c>
      <c r="E13" s="37">
        <f t="shared" si="0"/>
        <v>-1140974</v>
      </c>
      <c r="F13" s="69">
        <f t="shared" si="1"/>
        <v>-6.744915778260423</v>
      </c>
      <c r="G13" s="188" t="s">
        <v>85</v>
      </c>
      <c r="K13" s="6"/>
    </row>
    <row r="14" spans="1:12" ht="62.45" customHeight="1">
      <c r="A14" s="177"/>
      <c r="B14" s="63" t="s">
        <v>205</v>
      </c>
      <c r="C14" s="65">
        <f>5623900</f>
        <v>5623900</v>
      </c>
      <c r="D14" s="7">
        <v>7419100</v>
      </c>
      <c r="E14" s="37">
        <f t="shared" si="0"/>
        <v>1795200</v>
      </c>
      <c r="F14" s="69">
        <f t="shared" si="1"/>
        <v>31.920908977755651</v>
      </c>
      <c r="G14" s="187" t="s">
        <v>291</v>
      </c>
      <c r="K14" s="6"/>
    </row>
    <row r="15" spans="1:12" s="21" customFormat="1" ht="180" customHeight="1">
      <c r="A15" s="176"/>
      <c r="B15" s="64" t="s">
        <v>206</v>
      </c>
      <c r="C15" s="162">
        <v>1673000</v>
      </c>
      <c r="D15" s="66">
        <v>938952</v>
      </c>
      <c r="E15" s="67">
        <f>D15-C15</f>
        <v>-734048</v>
      </c>
      <c r="F15" s="69">
        <f t="shared" si="1"/>
        <v>-43.876150627615061</v>
      </c>
      <c r="G15" s="187" t="s">
        <v>292</v>
      </c>
      <c r="H15" s="164"/>
      <c r="I15" s="164"/>
      <c r="J15" s="165"/>
      <c r="K15" s="165"/>
      <c r="L15" s="3"/>
    </row>
    <row r="16" spans="1:12" ht="27.95" customHeight="1">
      <c r="A16" s="175"/>
      <c r="B16" s="63" t="s">
        <v>201</v>
      </c>
      <c r="C16" s="65">
        <v>939340</v>
      </c>
      <c r="D16" s="7">
        <v>857859</v>
      </c>
      <c r="E16" s="37">
        <f>D16-C16</f>
        <v>-81481</v>
      </c>
      <c r="F16" s="69">
        <f>E16/C16*100</f>
        <v>-8.6742819426405777</v>
      </c>
      <c r="G16" s="188"/>
      <c r="K16" s="6"/>
    </row>
    <row r="17" spans="1:12" s="43" customFormat="1" ht="39.950000000000003" customHeight="1">
      <c r="A17" s="71"/>
      <c r="B17" s="63" t="s">
        <v>207</v>
      </c>
      <c r="C17" s="65">
        <v>6341189</v>
      </c>
      <c r="D17" s="7">
        <v>6746953</v>
      </c>
      <c r="E17" s="37">
        <f>D17-C17</f>
        <v>405764</v>
      </c>
      <c r="F17" s="69">
        <f t="shared" ref="F17" si="2">E17/C17*100</f>
        <v>6.3988630523392374</v>
      </c>
      <c r="G17" s="186"/>
      <c r="J17" s="3"/>
      <c r="K17" s="6"/>
      <c r="L17" s="3"/>
    </row>
    <row r="18" spans="1:12" ht="27.95" customHeight="1">
      <c r="A18" s="60" t="s">
        <v>86</v>
      </c>
      <c r="B18" s="61"/>
      <c r="C18" s="127">
        <f>SUM(C19:C23)</f>
        <v>95238744</v>
      </c>
      <c r="D18" s="127">
        <f>SUM(D19:D23)</f>
        <v>90505663</v>
      </c>
      <c r="E18" s="128">
        <f t="shared" ref="E18:E23" si="3">D18-C18</f>
        <v>-4733081</v>
      </c>
      <c r="F18" s="69">
        <f t="shared" ref="F18:F23" si="4">E18/C18*100</f>
        <v>-4.9697011963954498</v>
      </c>
      <c r="G18" s="186"/>
      <c r="K18" s="6"/>
    </row>
    <row r="19" spans="1:12">
      <c r="A19" s="174"/>
      <c r="B19" s="63" t="s">
        <v>202</v>
      </c>
      <c r="C19" s="127">
        <v>59500908</v>
      </c>
      <c r="D19" s="129">
        <v>55136588</v>
      </c>
      <c r="E19" s="128">
        <f t="shared" si="3"/>
        <v>-4364320</v>
      </c>
      <c r="F19" s="69">
        <f t="shared" si="4"/>
        <v>-7.3348796626767436</v>
      </c>
      <c r="G19" s="186" t="s">
        <v>85</v>
      </c>
      <c r="K19" s="6"/>
    </row>
    <row r="20" spans="1:12">
      <c r="A20" s="174"/>
      <c r="B20" s="64" t="s">
        <v>203</v>
      </c>
      <c r="C20" s="127">
        <v>19519860</v>
      </c>
      <c r="D20" s="129">
        <v>16343237</v>
      </c>
      <c r="E20" s="128">
        <f t="shared" si="3"/>
        <v>-3176623</v>
      </c>
      <c r="F20" s="69">
        <f t="shared" si="4"/>
        <v>-16.273800119468071</v>
      </c>
      <c r="G20" s="188"/>
      <c r="K20" s="6"/>
    </row>
    <row r="21" spans="1:12" ht="92.1" customHeight="1">
      <c r="A21" s="175"/>
      <c r="B21" s="63" t="s">
        <v>206</v>
      </c>
      <c r="C21" s="127">
        <v>189000</v>
      </c>
      <c r="D21" s="129">
        <v>41620</v>
      </c>
      <c r="E21" s="128">
        <f t="shared" si="3"/>
        <v>-147380</v>
      </c>
      <c r="F21" s="69">
        <f t="shared" si="4"/>
        <v>-77.978835978835974</v>
      </c>
      <c r="G21" s="187" t="s">
        <v>294</v>
      </c>
      <c r="K21" s="6"/>
    </row>
    <row r="22" spans="1:12">
      <c r="A22" s="175"/>
      <c r="B22" s="63" t="s">
        <v>208</v>
      </c>
      <c r="C22" s="127">
        <v>2510200</v>
      </c>
      <c r="D22" s="129">
        <v>2432097</v>
      </c>
      <c r="E22" s="128">
        <f t="shared" si="3"/>
        <v>-78103</v>
      </c>
      <c r="F22" s="69">
        <f t="shared" si="4"/>
        <v>-3.1114253844315196</v>
      </c>
      <c r="G22" s="186"/>
      <c r="K22" s="6"/>
    </row>
    <row r="23" spans="1:12" ht="38.1" customHeight="1">
      <c r="A23" s="44"/>
      <c r="B23" s="64" t="s">
        <v>282</v>
      </c>
      <c r="C23" s="127">
        <v>13518776</v>
      </c>
      <c r="D23" s="129">
        <v>16552121</v>
      </c>
      <c r="E23" s="128">
        <f t="shared" si="3"/>
        <v>3033345</v>
      </c>
      <c r="F23" s="69">
        <f t="shared" si="4"/>
        <v>22.438015098408318</v>
      </c>
      <c r="G23" s="187" t="s">
        <v>300</v>
      </c>
      <c r="K23" s="6"/>
    </row>
    <row r="24" spans="1:12" ht="36" customHeight="1">
      <c r="A24" s="60" t="s">
        <v>114</v>
      </c>
      <c r="B24" s="61"/>
      <c r="C24" s="127">
        <v>920000</v>
      </c>
      <c r="D24" s="127">
        <v>886180</v>
      </c>
      <c r="E24" s="128">
        <f t="shared" si="0"/>
        <v>-33820</v>
      </c>
      <c r="F24" s="69">
        <f t="shared" si="1"/>
        <v>-3.6760869565217389</v>
      </c>
      <c r="G24" s="186"/>
      <c r="K24" s="6"/>
    </row>
    <row r="25" spans="1:12" ht="30" customHeight="1">
      <c r="A25" s="60" t="s">
        <v>87</v>
      </c>
      <c r="B25" s="61"/>
      <c r="C25" s="127">
        <f>SUM(C27:C32)</f>
        <v>55333060</v>
      </c>
      <c r="D25" s="127">
        <f>SUM(D27:D32)</f>
        <v>48574567</v>
      </c>
      <c r="E25" s="128">
        <f t="shared" si="0"/>
        <v>-6758493</v>
      </c>
      <c r="F25" s="69">
        <f t="shared" si="1"/>
        <v>-12.21420431112973</v>
      </c>
      <c r="G25" s="186"/>
      <c r="K25" s="6"/>
    </row>
    <row r="26" spans="1:12" ht="30" customHeight="1">
      <c r="A26" s="174"/>
      <c r="B26" s="63" t="s">
        <v>209</v>
      </c>
      <c r="C26" s="127">
        <f>SUM(C27:C31)</f>
        <v>46927027</v>
      </c>
      <c r="D26" s="127">
        <f t="shared" ref="D26" si="5">SUM(D27:D31)</f>
        <v>44305250</v>
      </c>
      <c r="E26" s="128">
        <f t="shared" si="0"/>
        <v>-2621777</v>
      </c>
      <c r="F26" s="69">
        <f t="shared" si="1"/>
        <v>-5.5869232883642939</v>
      </c>
      <c r="G26" s="189"/>
      <c r="K26" s="6"/>
    </row>
    <row r="27" spans="1:12" ht="30" customHeight="1">
      <c r="A27" s="175"/>
      <c r="B27" s="62" t="s">
        <v>210</v>
      </c>
      <c r="C27" s="127">
        <v>6410000</v>
      </c>
      <c r="D27" s="127">
        <v>6404742</v>
      </c>
      <c r="E27" s="128">
        <f t="shared" si="0"/>
        <v>-5258</v>
      </c>
      <c r="F27" s="69">
        <f t="shared" si="1"/>
        <v>-8.2028081123244931E-2</v>
      </c>
      <c r="G27" s="188"/>
      <c r="K27" s="6"/>
    </row>
    <row r="28" spans="1:12" ht="30" customHeight="1">
      <c r="A28" s="175"/>
      <c r="B28" s="62" t="s">
        <v>211</v>
      </c>
      <c r="C28" s="127">
        <v>38648956</v>
      </c>
      <c r="D28" s="127">
        <v>36408198</v>
      </c>
      <c r="E28" s="128">
        <f>D28-C28</f>
        <v>-2240758</v>
      </c>
      <c r="F28" s="69">
        <f>E28/C28*100</f>
        <v>-5.797719348486412</v>
      </c>
      <c r="G28" s="188"/>
      <c r="K28" s="6"/>
    </row>
    <row r="29" spans="1:12" ht="92.45" customHeight="1">
      <c r="A29" s="174"/>
      <c r="B29" s="63" t="s">
        <v>212</v>
      </c>
      <c r="C29" s="127">
        <v>730000</v>
      </c>
      <c r="D29" s="127">
        <v>421400</v>
      </c>
      <c r="E29" s="128">
        <f>D29-C29</f>
        <v>-308600</v>
      </c>
      <c r="F29" s="69">
        <f>E29/C29*100</f>
        <v>-42.273972602739725</v>
      </c>
      <c r="G29" s="187" t="s">
        <v>295</v>
      </c>
      <c r="K29" s="6"/>
    </row>
    <row r="30" spans="1:12" ht="30" customHeight="1">
      <c r="A30" s="175"/>
      <c r="B30" s="63" t="s">
        <v>213</v>
      </c>
      <c r="C30" s="36">
        <v>330000</v>
      </c>
      <c r="D30" s="36">
        <v>331867</v>
      </c>
      <c r="E30" s="128">
        <f>D30-C30</f>
        <v>1867</v>
      </c>
      <c r="F30" s="130">
        <f>E30/C30*100</f>
        <v>0.56575757575757579</v>
      </c>
      <c r="G30" s="186" t="s">
        <v>85</v>
      </c>
      <c r="K30" s="6"/>
    </row>
    <row r="31" spans="1:12" ht="29.1" customHeight="1">
      <c r="A31" s="175"/>
      <c r="B31" s="64" t="s">
        <v>214</v>
      </c>
      <c r="C31" s="127">
        <v>808071</v>
      </c>
      <c r="D31" s="127">
        <v>739043</v>
      </c>
      <c r="E31" s="128">
        <f t="shared" si="0"/>
        <v>-69028</v>
      </c>
      <c r="F31" s="69">
        <f t="shared" si="1"/>
        <v>-8.5423186823930077</v>
      </c>
      <c r="G31" s="186" t="s">
        <v>85</v>
      </c>
      <c r="K31" s="6"/>
    </row>
    <row r="32" spans="1:12" ht="147" customHeight="1">
      <c r="A32" s="44"/>
      <c r="B32" s="64" t="s">
        <v>215</v>
      </c>
      <c r="C32" s="127">
        <v>8406033</v>
      </c>
      <c r="D32" s="127">
        <v>4269317</v>
      </c>
      <c r="E32" s="128">
        <f t="shared" si="0"/>
        <v>-4136716</v>
      </c>
      <c r="F32" s="69">
        <f t="shared" si="1"/>
        <v>-49.211274807034421</v>
      </c>
      <c r="G32" s="187" t="s">
        <v>296</v>
      </c>
      <c r="K32" s="6"/>
    </row>
    <row r="33" spans="1:11" ht="27.95" customHeight="1">
      <c r="A33" s="60" t="s">
        <v>88</v>
      </c>
      <c r="B33" s="61"/>
      <c r="C33" s="127">
        <f>SUM(C34:C35)</f>
        <v>29974404</v>
      </c>
      <c r="D33" s="127">
        <f>SUM(D34:D35)</f>
        <v>28687344</v>
      </c>
      <c r="E33" s="128">
        <f t="shared" si="0"/>
        <v>-1287060</v>
      </c>
      <c r="F33" s="69">
        <f t="shared" si="1"/>
        <v>-4.2938635243589829</v>
      </c>
      <c r="G33" s="186"/>
      <c r="K33" s="6"/>
    </row>
    <row r="34" spans="1:11" ht="27.95" customHeight="1">
      <c r="A34" s="173"/>
      <c r="B34" s="63" t="s">
        <v>217</v>
      </c>
      <c r="C34" s="127">
        <v>1500000</v>
      </c>
      <c r="D34" s="127">
        <f>1576312+352</f>
        <v>1576664</v>
      </c>
      <c r="E34" s="128">
        <f t="shared" ref="E34" si="6">D34-C34</f>
        <v>76664</v>
      </c>
      <c r="F34" s="69">
        <f t="shared" ref="F34" si="7">E34/C34*100</f>
        <v>5.1109333333333336</v>
      </c>
      <c r="G34" s="186"/>
      <c r="K34" s="6"/>
    </row>
    <row r="35" spans="1:11" ht="27.95" customHeight="1">
      <c r="A35" s="174"/>
      <c r="B35" s="63" t="s">
        <v>284</v>
      </c>
      <c r="C35" s="127">
        <v>28474404</v>
      </c>
      <c r="D35" s="127">
        <f>1185323+25934202-8845</f>
        <v>27110680</v>
      </c>
      <c r="E35" s="128">
        <f t="shared" si="0"/>
        <v>-1363724</v>
      </c>
      <c r="F35" s="69">
        <f t="shared" si="1"/>
        <v>-4.7892977847754068</v>
      </c>
      <c r="G35" s="186"/>
      <c r="K35" s="6"/>
    </row>
    <row r="36" spans="1:11" ht="27.95" customHeight="1" thickBot="1">
      <c r="A36" s="233" t="s">
        <v>216</v>
      </c>
      <c r="B36" s="234"/>
      <c r="C36" s="68">
        <f>SUM(C6+C12+C18+C24+C25+C33)</f>
        <v>215934824</v>
      </c>
      <c r="D36" s="68">
        <f>SUM(D6+D12+D18+D24+D25+D33)</f>
        <v>202435760</v>
      </c>
      <c r="E36" s="131">
        <f>SUM(E6+E12+E18+E24+E25+E33)</f>
        <v>-13499064</v>
      </c>
      <c r="F36" s="70">
        <f>SUM(F6+F12+F18+F24+F25+F33)</f>
        <v>-55.672797116704189</v>
      </c>
      <c r="G36" s="190"/>
      <c r="K36" s="6"/>
    </row>
    <row r="37" spans="1:11">
      <c r="C37" s="172">
        <f>C36-收支餘絀表!C13</f>
        <v>0</v>
      </c>
      <c r="D37" s="172">
        <f>D36-收支餘絀表!D13</f>
        <v>0</v>
      </c>
      <c r="K37" s="6"/>
    </row>
    <row r="38" spans="1:11">
      <c r="K38" s="6"/>
    </row>
    <row r="39" spans="1:11">
      <c r="K39" s="6"/>
    </row>
    <row r="40" spans="1:11">
      <c r="K40" s="6"/>
    </row>
  </sheetData>
  <sheetProtection algorithmName="SHA-512" hashValue="ED/s2muJ2X0/VEqrYJtZgaRw0coWUFjh5zW6ypTH0Pz2RLnLF4wWYVRsqw7bb+CqITnSsouffUQRUH6c1/6/Sw==" saltValue="sogvNm15cwSKX5xKUlLE1w==" spinCount="100000" sheet="1" objects="1" scenarios="1"/>
  <mergeCells count="9">
    <mergeCell ref="A36:B36"/>
    <mergeCell ref="A1:G1"/>
    <mergeCell ref="C4:C5"/>
    <mergeCell ref="D4:D5"/>
    <mergeCell ref="E4:F4"/>
    <mergeCell ref="G4:G5"/>
    <mergeCell ref="A4:B5"/>
    <mergeCell ref="A2:G2"/>
    <mergeCell ref="A3:G3"/>
  </mergeCells>
  <phoneticPr fontId="1" type="noConversion"/>
  <printOptions horizontalCentered="1"/>
  <pageMargins left="3.937007874015748E-2" right="3.937007874015748E-2" top="0.59055118110236227" bottom="0.59055118110236227" header="0.31496062992125984" footer="0.31496062992125984"/>
  <pageSetup paperSize="9" orientation="portrait" r:id="rId1"/>
  <headerFooter>
    <oddHeader>&amp;R
&amp;"標楷體,標準"全&amp;N頁第&amp;P頁
單位：新臺幣元</oddHeader>
    <oddFooter>&amp;C～   　　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C7" sqref="C7"/>
    </sheetView>
  </sheetViews>
  <sheetFormatPr defaultColWidth="8.75" defaultRowHeight="16.5"/>
  <cols>
    <col min="1" max="1" width="1.5" style="3" customWidth="1"/>
    <col min="2" max="2" width="43.5" style="3" customWidth="1"/>
    <col min="3" max="3" width="14.75" style="3" bestFit="1" customWidth="1"/>
    <col min="4" max="4" width="10.875" style="3" bestFit="1" customWidth="1"/>
    <col min="5" max="5" width="14.75" style="3" bestFit="1" customWidth="1"/>
    <col min="6" max="6" width="13.875" style="3" customWidth="1"/>
    <col min="7" max="16384" width="8.75" style="3"/>
  </cols>
  <sheetData>
    <row r="1" spans="1:6">
      <c r="A1" s="193" t="s">
        <v>200</v>
      </c>
      <c r="B1" s="193"/>
      <c r="C1" s="193"/>
      <c r="D1" s="193"/>
      <c r="E1" s="193"/>
      <c r="F1" s="193"/>
    </row>
    <row r="2" spans="1:6">
      <c r="A2" s="193" t="s">
        <v>312</v>
      </c>
      <c r="B2" s="193"/>
      <c r="C2" s="193"/>
      <c r="D2" s="193"/>
      <c r="E2" s="193"/>
      <c r="F2" s="193"/>
    </row>
    <row r="3" spans="1:6" ht="17.25" thickBot="1">
      <c r="A3" s="206" t="s">
        <v>313</v>
      </c>
      <c r="B3" s="206"/>
      <c r="C3" s="206"/>
      <c r="D3" s="206"/>
      <c r="E3" s="206"/>
      <c r="F3" s="206"/>
    </row>
    <row r="4" spans="1:6" ht="33">
      <c r="A4" s="217" t="s">
        <v>220</v>
      </c>
      <c r="B4" s="218"/>
      <c r="C4" s="79" t="s">
        <v>89</v>
      </c>
      <c r="D4" s="116" t="s">
        <v>90</v>
      </c>
      <c r="E4" s="119" t="s">
        <v>91</v>
      </c>
      <c r="F4" s="81" t="s">
        <v>92</v>
      </c>
    </row>
    <row r="5" spans="1:6" ht="18.600000000000001" customHeight="1">
      <c r="A5" s="73" t="s">
        <v>218</v>
      </c>
      <c r="B5" s="74"/>
      <c r="C5" s="82"/>
      <c r="D5" s="117"/>
      <c r="E5" s="120"/>
      <c r="F5" s="84"/>
    </row>
    <row r="6" spans="1:6" ht="18.600000000000001" customHeight="1">
      <c r="A6" s="30"/>
      <c r="B6" s="75" t="s">
        <v>221</v>
      </c>
      <c r="C6" s="82">
        <v>55275432</v>
      </c>
      <c r="D6" s="117">
        <f>C6/$C$15*100</f>
        <v>34.252916514672798</v>
      </c>
      <c r="E6" s="120">
        <v>66702894</v>
      </c>
      <c r="F6" s="84">
        <f>E6/$E$15*100</f>
        <v>35.514379616955225</v>
      </c>
    </row>
    <row r="7" spans="1:6" ht="18.600000000000001" customHeight="1">
      <c r="A7" s="30"/>
      <c r="B7" s="75" t="s">
        <v>222</v>
      </c>
      <c r="C7" s="82">
        <v>41374092</v>
      </c>
      <c r="D7" s="117">
        <f>C7/$C$15*100</f>
        <v>25.638575183752373</v>
      </c>
      <c r="E7" s="120">
        <v>43113703</v>
      </c>
      <c r="F7" s="84">
        <f>E7/$E$15*100+0.01</f>
        <v>22.9648723183534</v>
      </c>
    </row>
    <row r="8" spans="1:6" ht="18.600000000000001" customHeight="1">
      <c r="A8" s="30"/>
      <c r="B8" s="76" t="s">
        <v>219</v>
      </c>
      <c r="C8" s="82">
        <f>48580618-C7</f>
        <v>7206526</v>
      </c>
      <c r="D8" s="117">
        <f t="shared" ref="D8:D15" si="0">C8/$C$15*100</f>
        <v>4.4657187561884433</v>
      </c>
      <c r="E8" s="120">
        <v>11531198</v>
      </c>
      <c r="F8" s="84">
        <f t="shared" ref="F8:F15" si="1">E8/$E$15*100</f>
        <v>6.1395138749193521</v>
      </c>
    </row>
    <row r="9" spans="1:6" ht="18.600000000000001" customHeight="1">
      <c r="A9" s="30"/>
      <c r="B9" s="75" t="s">
        <v>223</v>
      </c>
      <c r="C9" s="82">
        <v>23092723</v>
      </c>
      <c r="D9" s="117">
        <f t="shared" si="0"/>
        <v>14.310030413067858</v>
      </c>
      <c r="E9" s="120">
        <v>26035238</v>
      </c>
      <c r="F9" s="84">
        <f t="shared" si="1"/>
        <v>13.861847219848933</v>
      </c>
    </row>
    <row r="10" spans="1:6" ht="18.600000000000001" customHeight="1">
      <c r="A10" s="30"/>
      <c r="B10" s="75" t="s">
        <v>224</v>
      </c>
      <c r="C10" s="82">
        <v>104208136</v>
      </c>
      <c r="D10" s="117">
        <f>C10/$C$15*100-0.01</f>
        <v>64.565390067646476</v>
      </c>
      <c r="E10" s="120">
        <v>20748204</v>
      </c>
      <c r="F10" s="84">
        <f t="shared" si="1"/>
        <v>11.046890907402441</v>
      </c>
    </row>
    <row r="11" spans="1:6" ht="18.600000000000001" customHeight="1">
      <c r="A11" s="30"/>
      <c r="B11" s="75" t="s">
        <v>225</v>
      </c>
      <c r="C11" s="82">
        <v>12168272</v>
      </c>
      <c r="D11" s="117">
        <f t="shared" si="0"/>
        <v>7.5403988691364834</v>
      </c>
      <c r="E11" s="120">
        <v>13409824</v>
      </c>
      <c r="F11" s="84">
        <f t="shared" si="1"/>
        <v>7.1397438937590456</v>
      </c>
    </row>
    <row r="12" spans="1:6" ht="18.600000000000001" customHeight="1">
      <c r="A12" s="30"/>
      <c r="B12" s="75" t="s">
        <v>226</v>
      </c>
      <c r="C12" s="156">
        <v>-83659108</v>
      </c>
      <c r="D12" s="117">
        <f t="shared" si="0"/>
        <v>-51.841629062546183</v>
      </c>
      <c r="E12" s="120">
        <v>-1426419</v>
      </c>
      <c r="F12" s="84">
        <f t="shared" si="1"/>
        <v>-0.75946308804588969</v>
      </c>
    </row>
    <row r="13" spans="1:6" ht="18.600000000000001" customHeight="1">
      <c r="A13" s="30"/>
      <c r="B13" s="75" t="s">
        <v>227</v>
      </c>
      <c r="C13" s="156">
        <v>1546018</v>
      </c>
      <c r="D13" s="117">
        <f t="shared" si="0"/>
        <v>0.95803187000295909</v>
      </c>
      <c r="E13" s="120">
        <v>7885346</v>
      </c>
      <c r="F13" s="84">
        <f t="shared" si="1"/>
        <v>4.1983661346843419</v>
      </c>
    </row>
    <row r="14" spans="1:6" ht="18.600000000000001" customHeight="1">
      <c r="A14" s="30"/>
      <c r="B14" s="75" t="s">
        <v>228</v>
      </c>
      <c r="C14" s="156">
        <v>162290</v>
      </c>
      <c r="D14" s="117">
        <f t="shared" si="0"/>
        <v>0.10056738807878061</v>
      </c>
      <c r="E14" s="120">
        <v>-180590</v>
      </c>
      <c r="F14" s="84">
        <f t="shared" si="1"/>
        <v>-9.6150877876842095E-2</v>
      </c>
    </row>
    <row r="15" spans="1:6" ht="18.600000000000001" customHeight="1">
      <c r="A15" s="30"/>
      <c r="B15" s="75" t="s">
        <v>229</v>
      </c>
      <c r="C15" s="7">
        <f>SUM(C6:C14)</f>
        <v>161374381</v>
      </c>
      <c r="D15" s="124">
        <f t="shared" si="0"/>
        <v>100</v>
      </c>
      <c r="E15" s="179">
        <f>SUM(E6:E14)</f>
        <v>187819398</v>
      </c>
      <c r="F15" s="124">
        <f t="shared" si="1"/>
        <v>100</v>
      </c>
    </row>
    <row r="16" spans="1:6" ht="18.600000000000001" customHeight="1">
      <c r="A16" s="73" t="s">
        <v>230</v>
      </c>
      <c r="B16" s="74"/>
      <c r="C16" s="82"/>
      <c r="D16" s="117"/>
      <c r="E16" s="120"/>
      <c r="F16" s="84"/>
    </row>
    <row r="17" spans="1:6" ht="18.600000000000001" customHeight="1">
      <c r="A17" s="30"/>
      <c r="B17" s="75" t="s">
        <v>231</v>
      </c>
      <c r="C17" s="82">
        <v>2044056</v>
      </c>
      <c r="D17" s="117">
        <f>SUM(C17/$C$15*100)</f>
        <v>1.2666545875085338</v>
      </c>
      <c r="E17" s="120">
        <v>1871565</v>
      </c>
      <c r="F17" s="84">
        <f>SUM(E17/$E$15*100)</f>
        <v>0.99647055625212888</v>
      </c>
    </row>
    <row r="18" spans="1:6" ht="18.600000000000001" customHeight="1">
      <c r="A18" s="30"/>
      <c r="B18" s="75" t="s">
        <v>232</v>
      </c>
      <c r="C18" s="82">
        <v>31737950</v>
      </c>
      <c r="D18" s="117">
        <f t="shared" ref="D18:D25" si="2">SUM(C18/$C$15*100)</f>
        <v>19.667279157526249</v>
      </c>
      <c r="E18" s="120">
        <v>29078375</v>
      </c>
      <c r="F18" s="84">
        <f t="shared" ref="F18:F25" si="3">SUM(E18/$E$15*100)</f>
        <v>15.482093601428751</v>
      </c>
    </row>
    <row r="19" spans="1:6" ht="18.600000000000001" customHeight="1">
      <c r="A19" s="30"/>
      <c r="B19" s="75" t="s">
        <v>233</v>
      </c>
      <c r="C19" s="82">
        <v>90505663</v>
      </c>
      <c r="D19" s="117">
        <f t="shared" si="2"/>
        <v>56.084282052180271</v>
      </c>
      <c r="E19" s="120">
        <v>92150783</v>
      </c>
      <c r="F19" s="84">
        <f t="shared" si="3"/>
        <v>49.063506741726428</v>
      </c>
    </row>
    <row r="20" spans="1:6" ht="18.600000000000001" customHeight="1">
      <c r="A20" s="30"/>
      <c r="B20" s="75" t="s">
        <v>234</v>
      </c>
      <c r="C20" s="82">
        <v>886180</v>
      </c>
      <c r="D20" s="117">
        <f t="shared" si="2"/>
        <v>0.54914540617199947</v>
      </c>
      <c r="E20" s="120">
        <v>2112683</v>
      </c>
      <c r="F20" s="84">
        <f t="shared" si="3"/>
        <v>1.1248481373579953</v>
      </c>
    </row>
    <row r="21" spans="1:6" ht="18.600000000000001" customHeight="1">
      <c r="A21" s="30"/>
      <c r="B21" s="75" t="s">
        <v>235</v>
      </c>
      <c r="C21" s="82">
        <v>44305250</v>
      </c>
      <c r="D21" s="117">
        <f t="shared" si="2"/>
        <v>27.454946519670926</v>
      </c>
      <c r="E21" s="120">
        <v>44201636</v>
      </c>
      <c r="F21" s="84">
        <f t="shared" si="3"/>
        <v>23.534116534651016</v>
      </c>
    </row>
    <row r="22" spans="1:6" ht="18.600000000000001" customHeight="1">
      <c r="A22" s="30"/>
      <c r="B22" s="75" t="s">
        <v>236</v>
      </c>
      <c r="C22" s="82">
        <v>4269317</v>
      </c>
      <c r="D22" s="117">
        <f t="shared" si="2"/>
        <v>2.6455977544539739</v>
      </c>
      <c r="E22" s="120">
        <v>7506338</v>
      </c>
      <c r="F22" s="84">
        <f t="shared" si="3"/>
        <v>3.9965722816340836</v>
      </c>
    </row>
    <row r="23" spans="1:6" ht="18.600000000000001" customHeight="1">
      <c r="A23" s="30"/>
      <c r="B23" s="75" t="s">
        <v>237</v>
      </c>
      <c r="C23" s="82">
        <v>28687344</v>
      </c>
      <c r="D23" s="117">
        <f t="shared" si="2"/>
        <v>17.776888637608469</v>
      </c>
      <c r="E23" s="120">
        <v>29891157</v>
      </c>
      <c r="F23" s="84">
        <f>SUM(E23/$E$15*100)+0.01</f>
        <v>15.924840170023334</v>
      </c>
    </row>
    <row r="24" spans="1:6" ht="18.600000000000001" customHeight="1">
      <c r="A24" s="30"/>
      <c r="B24" s="75" t="s">
        <v>238</v>
      </c>
      <c r="C24" s="156">
        <v>-24069752</v>
      </c>
      <c r="D24" s="117">
        <f t="shared" si="2"/>
        <v>-14.915472859350581</v>
      </c>
      <c r="E24" s="120">
        <v>-16688684</v>
      </c>
      <c r="F24" s="84">
        <f t="shared" si="3"/>
        <v>-8.8854954161869912</v>
      </c>
    </row>
    <row r="25" spans="1:6" ht="18.600000000000001" customHeight="1">
      <c r="A25" s="30"/>
      <c r="B25" s="75" t="s">
        <v>239</v>
      </c>
      <c r="C25" s="156">
        <v>-4283315</v>
      </c>
      <c r="D25" s="117">
        <f t="shared" si="2"/>
        <v>-2.654271993768329</v>
      </c>
      <c r="E25" s="120">
        <v>1182278</v>
      </c>
      <c r="F25" s="84">
        <f t="shared" si="3"/>
        <v>0.62947598202822475</v>
      </c>
    </row>
    <row r="26" spans="1:6" ht="18.600000000000001" customHeight="1">
      <c r="A26" s="30"/>
      <c r="B26" s="75" t="s">
        <v>241</v>
      </c>
      <c r="C26" s="157">
        <v>0</v>
      </c>
      <c r="D26" s="110">
        <v>0</v>
      </c>
      <c r="E26" s="121">
        <v>0</v>
      </c>
      <c r="F26" s="111">
        <v>0</v>
      </c>
    </row>
    <row r="27" spans="1:6" ht="18.600000000000001" customHeight="1">
      <c r="A27" s="30"/>
      <c r="B27" s="75" t="s">
        <v>240</v>
      </c>
      <c r="C27" s="180">
        <f>SUM(C17:C26)</f>
        <v>174082693</v>
      </c>
      <c r="D27" s="181">
        <f>SUM(C27/C15*100)</f>
        <v>107.87504926200151</v>
      </c>
      <c r="E27" s="179">
        <f>SUM(E17:E26)</f>
        <v>191306131</v>
      </c>
      <c r="F27" s="124">
        <f>SUM(E27/E15*100)</f>
        <v>101.85642858891497</v>
      </c>
    </row>
    <row r="28" spans="1:6" ht="18.600000000000001" customHeight="1">
      <c r="A28" s="73" t="s">
        <v>93</v>
      </c>
      <c r="B28" s="74"/>
      <c r="C28" s="180">
        <f>C15-C27</f>
        <v>-12708312</v>
      </c>
      <c r="D28" s="181">
        <f>SUM(C28/$C$15*100)</f>
        <v>-7.8750492620015073</v>
      </c>
      <c r="E28" s="179">
        <f>E15-E27</f>
        <v>-3486733</v>
      </c>
      <c r="F28" s="124">
        <f>SUM(E28/$E$15*100)</f>
        <v>-1.8564285889149748</v>
      </c>
    </row>
    <row r="29" spans="1:6" ht="18.600000000000001" customHeight="1">
      <c r="A29" s="73" t="s">
        <v>271</v>
      </c>
      <c r="B29" s="74"/>
      <c r="C29" s="159">
        <v>113835747</v>
      </c>
      <c r="D29" s="181">
        <f>SUM(C29/$C$15*100)</f>
        <v>70.541399628978283</v>
      </c>
      <c r="E29" s="179">
        <v>5047273</v>
      </c>
      <c r="F29" s="124">
        <f>SUM(E29/$E$15*100)</f>
        <v>2.6873012339226001</v>
      </c>
    </row>
    <row r="30" spans="1:6" ht="18.600000000000001" customHeight="1">
      <c r="A30" s="73" t="s">
        <v>112</v>
      </c>
      <c r="B30" s="74"/>
      <c r="C30" s="82"/>
      <c r="D30" s="117"/>
      <c r="E30" s="120"/>
      <c r="F30" s="84"/>
    </row>
    <row r="31" spans="1:6" ht="18.600000000000001" customHeight="1">
      <c r="A31" s="30"/>
      <c r="B31" s="75" t="s">
        <v>242</v>
      </c>
      <c r="C31" s="156">
        <v>6773479</v>
      </c>
      <c r="D31" s="117">
        <f>C31/$C$15*100</f>
        <v>4.197369469692962</v>
      </c>
      <c r="E31" s="120">
        <v>17153219</v>
      </c>
      <c r="F31" s="84">
        <f>E31/$E$15*100</f>
        <v>9.1328260992509414</v>
      </c>
    </row>
    <row r="32" spans="1:6" ht="18.600000000000001" customHeight="1">
      <c r="A32" s="30"/>
      <c r="B32" s="75" t="s">
        <v>243</v>
      </c>
      <c r="C32" s="156">
        <v>11859</v>
      </c>
      <c r="D32" s="117">
        <f>C32/$C$15*100-0.01</f>
        <v>-2.6512498907741745E-3</v>
      </c>
      <c r="E32" s="120">
        <v>26752</v>
      </c>
      <c r="F32" s="84">
        <f>E32/$E$15*100</f>
        <v>1.4243470208545765E-2</v>
      </c>
    </row>
    <row r="33" spans="1:6" ht="18.600000000000001" customHeight="1">
      <c r="A33" s="30"/>
      <c r="B33" s="75" t="s">
        <v>244</v>
      </c>
      <c r="C33" s="158">
        <v>2950751</v>
      </c>
      <c r="D33" s="113">
        <f>C33/$C$15*100</f>
        <v>1.8285126683150532</v>
      </c>
      <c r="E33" s="112">
        <v>2927387</v>
      </c>
      <c r="F33" s="113">
        <f>E33/$E$15*100</f>
        <v>1.5586180294327214</v>
      </c>
    </row>
    <row r="34" spans="1:6" ht="18.600000000000001" customHeight="1">
      <c r="A34" s="30"/>
      <c r="B34" s="75" t="s">
        <v>245</v>
      </c>
      <c r="C34" s="159">
        <f>SUM(C31:C33)</f>
        <v>9736089</v>
      </c>
      <c r="D34" s="124">
        <f>C34/C15*100</f>
        <v>6.0332308881172407</v>
      </c>
      <c r="E34" s="112">
        <f>SUM(E31:E33)</f>
        <v>20107358</v>
      </c>
      <c r="F34" s="113">
        <f>E34/E15*100-0.01</f>
        <v>10.695687598892208</v>
      </c>
    </row>
    <row r="35" spans="1:6" ht="18.600000000000001" customHeight="1">
      <c r="A35" s="73" t="s">
        <v>113</v>
      </c>
      <c r="B35" s="74"/>
      <c r="C35" s="159">
        <f>C28+C29-C34</f>
        <v>91391346</v>
      </c>
      <c r="D35" s="181">
        <f>C35/$C$15*100</f>
        <v>56.633119478859541</v>
      </c>
      <c r="E35" s="159">
        <f>E28+E29-E34</f>
        <v>-18546818</v>
      </c>
      <c r="F35" s="124">
        <f>E35/$E$15*100</f>
        <v>-9.8748149538845826</v>
      </c>
    </row>
    <row r="36" spans="1:6" ht="18.600000000000001" customHeight="1">
      <c r="A36" s="73" t="s">
        <v>94</v>
      </c>
      <c r="B36" s="74"/>
      <c r="C36" s="82"/>
      <c r="D36" s="117"/>
      <c r="E36" s="120"/>
      <c r="F36" s="84"/>
    </row>
    <row r="37" spans="1:6" ht="18.600000000000001" customHeight="1">
      <c r="A37" s="73"/>
      <c r="B37" s="75" t="s">
        <v>246</v>
      </c>
      <c r="C37" s="114">
        <v>4052629</v>
      </c>
      <c r="D37" s="113">
        <f>C37/$C$15*100</f>
        <v>2.5113211743318784</v>
      </c>
      <c r="E37" s="122">
        <v>0</v>
      </c>
      <c r="F37" s="115">
        <v>0</v>
      </c>
    </row>
    <row r="38" spans="1:6" ht="18.600000000000001" customHeight="1">
      <c r="A38" s="73"/>
      <c r="B38" s="75" t="s">
        <v>247</v>
      </c>
      <c r="C38" s="114">
        <f>C37</f>
        <v>4052629</v>
      </c>
      <c r="D38" s="182">
        <f t="shared" ref="D38:F38" si="4">D37</f>
        <v>2.5113211743318784</v>
      </c>
      <c r="E38" s="160">
        <f t="shared" si="4"/>
        <v>0</v>
      </c>
      <c r="F38" s="161">
        <f t="shared" si="4"/>
        <v>0</v>
      </c>
    </row>
    <row r="39" spans="1:6" ht="18.600000000000001" customHeight="1" thickBot="1">
      <c r="A39" s="77" t="s">
        <v>95</v>
      </c>
      <c r="B39" s="78"/>
      <c r="C39" s="83">
        <f>C35-C38</f>
        <v>87338717</v>
      </c>
      <c r="D39" s="118">
        <f>C39/C15*100</f>
        <v>54.121798304527658</v>
      </c>
      <c r="E39" s="123">
        <f>E35-E38</f>
        <v>-18546818</v>
      </c>
      <c r="F39" s="85">
        <f>E39/E15*100</f>
        <v>-9.8748149538845826</v>
      </c>
    </row>
  </sheetData>
  <sheetProtection algorithmName="SHA-512" hashValue="8j26N/8CvEG4XJYKbSZ2PoL/Dc4YzgwKq70bsqek4Gs6irqctPsu/2IJccHBlBDrP6xLPX7M1vd1e9eDcKXRag==" saltValue="+4nzXRxWfBFOzqgMG56KCA==" spinCount="100000" sheet="1" objects="1" scenarios="1"/>
  <mergeCells count="4">
    <mergeCell ref="A1:F1"/>
    <mergeCell ref="A4:B4"/>
    <mergeCell ref="A2:F2"/>
    <mergeCell ref="A3:F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  <headerFooter>
    <oddHeader>&amp;R
&amp;"標楷體,標準"全&amp;N頁第&amp;P頁
單位：新臺幣元</oddHeader>
    <oddFooter>&amp;C～　 　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D7" sqref="D7"/>
    </sheetView>
  </sheetViews>
  <sheetFormatPr defaultColWidth="8.75" defaultRowHeight="16.5"/>
  <cols>
    <col min="1" max="1" width="2.375" style="3" customWidth="1"/>
    <col min="2" max="2" width="42.75" style="3" customWidth="1"/>
    <col min="3" max="3" width="18.25" style="3" customWidth="1"/>
    <col min="4" max="4" width="18.75" style="3" customWidth="1"/>
    <col min="5" max="16384" width="8.75" style="3"/>
  </cols>
  <sheetData>
    <row r="1" spans="1:8" ht="19.5" customHeight="1">
      <c r="A1" s="193" t="s">
        <v>198</v>
      </c>
      <c r="B1" s="193"/>
      <c r="C1" s="193"/>
      <c r="D1" s="193"/>
    </row>
    <row r="2" spans="1:8" ht="19.5" customHeight="1">
      <c r="A2" s="250" t="s">
        <v>314</v>
      </c>
      <c r="B2" s="250"/>
      <c r="C2" s="250"/>
      <c r="D2" s="250"/>
    </row>
    <row r="3" spans="1:8" ht="19.5" customHeight="1" thickBot="1">
      <c r="A3" s="206" t="s">
        <v>303</v>
      </c>
      <c r="B3" s="206"/>
      <c r="C3" s="206"/>
      <c r="D3" s="206"/>
    </row>
    <row r="4" spans="1:8" ht="21.6" customHeight="1">
      <c r="A4" s="248" t="s">
        <v>315</v>
      </c>
      <c r="B4" s="249"/>
      <c r="C4" s="137" t="s">
        <v>96</v>
      </c>
      <c r="D4" s="88" t="s">
        <v>97</v>
      </c>
      <c r="H4" s="72"/>
    </row>
    <row r="5" spans="1:8" s="22" customFormat="1" ht="24.95" customHeight="1">
      <c r="A5" s="98" t="s">
        <v>98</v>
      </c>
      <c r="B5" s="99"/>
      <c r="C5" s="100"/>
      <c r="D5" s="101" t="s">
        <v>99</v>
      </c>
    </row>
    <row r="6" spans="1:8" s="22" customFormat="1" ht="24.95" customHeight="1">
      <c r="A6" s="106"/>
      <c r="B6" s="102" t="s">
        <v>249</v>
      </c>
      <c r="C6" s="103">
        <v>40889421</v>
      </c>
      <c r="D6" s="104">
        <f>收支餘絀表!A21</f>
        <v>-25271476</v>
      </c>
    </row>
    <row r="7" spans="1:8" s="22" customFormat="1" ht="24.95" customHeight="1">
      <c r="A7" s="106"/>
      <c r="B7" s="102" t="s">
        <v>250</v>
      </c>
      <c r="C7" s="107">
        <f>-17232568-8516460</f>
        <v>-25749028</v>
      </c>
      <c r="D7" s="108">
        <v>-19330931</v>
      </c>
    </row>
    <row r="8" spans="1:8" s="22" customFormat="1" ht="24.95" customHeight="1">
      <c r="A8" s="106"/>
      <c r="B8" s="102" t="s">
        <v>251</v>
      </c>
      <c r="C8" s="103">
        <f>SUM(C6:C7)</f>
        <v>15140393</v>
      </c>
      <c r="D8" s="104">
        <f>SUM(D6:D7)</f>
        <v>-44602407</v>
      </c>
    </row>
    <row r="9" spans="1:8" s="22" customFormat="1" ht="24.95" customHeight="1">
      <c r="A9" s="106"/>
      <c r="B9" s="102" t="s">
        <v>252</v>
      </c>
      <c r="C9" s="103"/>
      <c r="D9" s="104"/>
    </row>
    <row r="10" spans="1:8" s="22" customFormat="1" ht="24.95" customHeight="1">
      <c r="A10" s="106"/>
      <c r="B10" s="102" t="s">
        <v>253</v>
      </c>
      <c r="C10" s="103">
        <v>24069752</v>
      </c>
      <c r="D10" s="104">
        <v>16688684</v>
      </c>
      <c r="G10" s="105"/>
    </row>
    <row r="11" spans="1:8" s="22" customFormat="1" ht="24.95" customHeight="1">
      <c r="A11" s="106"/>
      <c r="B11" s="102" t="s">
        <v>254</v>
      </c>
      <c r="C11" s="103">
        <v>-83659108</v>
      </c>
      <c r="D11" s="104">
        <v>-1426419</v>
      </c>
      <c r="G11" s="105"/>
    </row>
    <row r="12" spans="1:8" s="22" customFormat="1" ht="24.95" customHeight="1">
      <c r="A12" s="106"/>
      <c r="B12" s="102" t="s">
        <v>255</v>
      </c>
      <c r="C12" s="103">
        <v>4583332</v>
      </c>
      <c r="D12" s="104">
        <v>-934562</v>
      </c>
    </row>
    <row r="13" spans="1:8" s="22" customFormat="1" ht="24.95" customHeight="1">
      <c r="A13" s="106"/>
      <c r="B13" s="102" t="s">
        <v>256</v>
      </c>
      <c r="C13" s="107">
        <v>1246001</v>
      </c>
      <c r="D13" s="108">
        <v>7637630</v>
      </c>
    </row>
    <row r="14" spans="1:8" s="22" customFormat="1" ht="24.95" customHeight="1">
      <c r="A14" s="138" t="s">
        <v>257</v>
      </c>
      <c r="B14" s="102"/>
      <c r="C14" s="104">
        <f>SUM(C8:C13)</f>
        <v>-38619630</v>
      </c>
      <c r="D14" s="104">
        <f>SUM(D8:D13)</f>
        <v>-22637074</v>
      </c>
    </row>
    <row r="15" spans="1:8" s="22" customFormat="1" ht="24.95" customHeight="1">
      <c r="A15" s="138" t="s">
        <v>258</v>
      </c>
      <c r="B15" s="102"/>
      <c r="C15" s="103">
        <v>17394858</v>
      </c>
      <c r="D15" s="104">
        <v>17291140</v>
      </c>
    </row>
    <row r="16" spans="1:8" s="22" customFormat="1" ht="24.95" customHeight="1">
      <c r="A16" s="138" t="s">
        <v>259</v>
      </c>
      <c r="B16" s="102"/>
      <c r="C16" s="107">
        <v>8516460</v>
      </c>
      <c r="D16" s="108">
        <v>1859201</v>
      </c>
    </row>
    <row r="17" spans="1:4" s="22" customFormat="1" ht="24.95" customHeight="1">
      <c r="A17" s="246" t="s">
        <v>260</v>
      </c>
      <c r="B17" s="247"/>
      <c r="C17" s="107">
        <f>SUM(C14:C16)</f>
        <v>-12708312</v>
      </c>
      <c r="D17" s="108">
        <f>SUM(D14:D16)</f>
        <v>-3486733</v>
      </c>
    </row>
    <row r="18" spans="1:4" ht="24.95" customHeight="1">
      <c r="A18" s="94" t="s">
        <v>119</v>
      </c>
      <c r="B18" s="95"/>
      <c r="C18" s="86"/>
      <c r="D18" s="90"/>
    </row>
    <row r="19" spans="1:4" ht="24.95" customHeight="1">
      <c r="A19" s="44"/>
      <c r="B19" s="96" t="s">
        <v>262</v>
      </c>
      <c r="C19" s="86">
        <v>113835747</v>
      </c>
      <c r="D19" s="90">
        <v>5047273</v>
      </c>
    </row>
    <row r="20" spans="1:4" ht="24.95" customHeight="1">
      <c r="A20" s="44"/>
      <c r="B20" s="96" t="s">
        <v>263</v>
      </c>
      <c r="C20" s="86">
        <v>0</v>
      </c>
      <c r="D20" s="90">
        <v>1000</v>
      </c>
    </row>
    <row r="21" spans="1:4" ht="24.95" customHeight="1">
      <c r="A21" s="44"/>
      <c r="B21" s="96" t="s">
        <v>264</v>
      </c>
      <c r="C21" s="86">
        <v>230000000</v>
      </c>
      <c r="D21" s="90">
        <v>20000000</v>
      </c>
    </row>
    <row r="22" spans="1:4" ht="24.95" customHeight="1">
      <c r="A22" s="44"/>
      <c r="B22" s="96" t="s">
        <v>289</v>
      </c>
      <c r="C22" s="86">
        <v>-352668837</v>
      </c>
      <c r="D22" s="90">
        <v>0</v>
      </c>
    </row>
    <row r="23" spans="1:4" ht="24.95" customHeight="1">
      <c r="A23" s="44"/>
      <c r="B23" s="96" t="s">
        <v>265</v>
      </c>
      <c r="C23" s="87">
        <v>-13788718</v>
      </c>
      <c r="D23" s="109">
        <v>-20107358</v>
      </c>
    </row>
    <row r="24" spans="1:4" ht="24.95" customHeight="1">
      <c r="A24" s="246" t="s">
        <v>261</v>
      </c>
      <c r="B24" s="247"/>
      <c r="C24" s="87">
        <f>SUM(C19:C23)</f>
        <v>-22621808</v>
      </c>
      <c r="D24" s="109">
        <f>SUM(D19:D23)</f>
        <v>4940915</v>
      </c>
    </row>
    <row r="25" spans="1:4" ht="24.95" customHeight="1">
      <c r="A25" s="94" t="s">
        <v>248</v>
      </c>
      <c r="B25" s="96"/>
      <c r="C25" s="86"/>
      <c r="D25" s="90"/>
    </row>
    <row r="26" spans="1:4" ht="24.95" customHeight="1">
      <c r="A26" s="44"/>
      <c r="B26" s="96" t="s">
        <v>266</v>
      </c>
      <c r="C26" s="86">
        <v>79929705</v>
      </c>
      <c r="D26" s="90">
        <v>98392859</v>
      </c>
    </row>
    <row r="27" spans="1:4" ht="24.95" customHeight="1">
      <c r="A27" s="44"/>
      <c r="B27" s="96" t="s">
        <v>267</v>
      </c>
      <c r="C27" s="86">
        <v>497092</v>
      </c>
      <c r="D27" s="90">
        <v>937838</v>
      </c>
    </row>
    <row r="28" spans="1:4" ht="24.95" customHeight="1">
      <c r="A28" s="44"/>
      <c r="B28" s="96" t="s">
        <v>268</v>
      </c>
      <c r="C28" s="86">
        <v>-80178762</v>
      </c>
      <c r="D28" s="90">
        <v>-95773400</v>
      </c>
    </row>
    <row r="29" spans="1:4" ht="24.95" customHeight="1">
      <c r="A29" s="44"/>
      <c r="B29" s="96" t="s">
        <v>269</v>
      </c>
      <c r="C29" s="87">
        <v>-581593</v>
      </c>
      <c r="D29" s="109">
        <v>-498035</v>
      </c>
    </row>
    <row r="30" spans="1:4" ht="24.95" customHeight="1">
      <c r="A30" s="246" t="s">
        <v>270</v>
      </c>
      <c r="B30" s="247"/>
      <c r="C30" s="87">
        <f>SUM(C26:C29)</f>
        <v>-333558</v>
      </c>
      <c r="D30" s="109">
        <f>SUM(D26:D29)</f>
        <v>3059262</v>
      </c>
    </row>
    <row r="31" spans="1:4" ht="24.95" customHeight="1">
      <c r="A31" s="89" t="s">
        <v>111</v>
      </c>
      <c r="B31" s="96"/>
      <c r="C31" s="86">
        <f>C17+C24+C30</f>
        <v>-35663678</v>
      </c>
      <c r="D31" s="90">
        <f>D17+D24+D30</f>
        <v>4513444</v>
      </c>
    </row>
    <row r="32" spans="1:4" ht="24.95" customHeight="1">
      <c r="A32" s="89" t="s">
        <v>100</v>
      </c>
      <c r="B32" s="96"/>
      <c r="C32" s="87">
        <v>1754592234</v>
      </c>
      <c r="D32" s="109">
        <v>1750078790</v>
      </c>
    </row>
    <row r="33" spans="1:4" ht="24.95" customHeight="1" thickBot="1">
      <c r="A33" s="91" t="s">
        <v>101</v>
      </c>
      <c r="B33" s="97"/>
      <c r="C33" s="92">
        <f>C31+C32</f>
        <v>1718928556</v>
      </c>
      <c r="D33" s="93">
        <f>D31+D32</f>
        <v>1754592234</v>
      </c>
    </row>
  </sheetData>
  <sheetProtection algorithmName="SHA-512" hashValue="lzME1GBewhw7aqAS9dwXDmz2EP8ayf+OqtKLyFrhQuewhg38NPgoa1djJvKhAcyK4NzL6Ak9HejpK6jda1TiHg==" saltValue="2nN6RAzDDBpAu5JxSPIEjA==" spinCount="100000" sheet="1" objects="1" scenarios="1"/>
  <mergeCells count="7">
    <mergeCell ref="A30:B30"/>
    <mergeCell ref="A1:D1"/>
    <mergeCell ref="A17:B17"/>
    <mergeCell ref="A24:B24"/>
    <mergeCell ref="A4:B4"/>
    <mergeCell ref="A2:D2"/>
    <mergeCell ref="A3:D3"/>
  </mergeCells>
  <phoneticPr fontId="1" type="noConversion"/>
  <pageMargins left="1.1023622047244095" right="0.70866141732283472" top="0.55118110236220474" bottom="0.55118110236220474" header="0.31496062992125984" footer="0.31496062992125984"/>
  <pageSetup paperSize="9" orientation="portrait" r:id="rId1"/>
  <headerFooter>
    <oddHeader>&amp;R
&amp;"標楷體,標準"全&amp;N頁第&amp;P頁
單位:新臺幣元</oddHeader>
    <oddFooter>&amp;C～　　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3</vt:i4>
      </vt:variant>
    </vt:vector>
  </HeadingPairs>
  <TitlesOfParts>
    <vt:vector size="10" baseType="lpstr">
      <vt:lpstr>平衡表</vt:lpstr>
      <vt:lpstr>收支餘絀表</vt:lpstr>
      <vt:lpstr>固定資產無形資產變動表</vt:lpstr>
      <vt:lpstr>收入明細</vt:lpstr>
      <vt:lpstr>支出明細表</vt:lpstr>
      <vt:lpstr>現金收支概況表</vt:lpstr>
      <vt:lpstr>現金流量表</vt:lpstr>
      <vt:lpstr>固定資產無形資產變動表!Print_Area</vt:lpstr>
      <vt:lpstr>支出明細表!Print_Titles</vt:lpstr>
      <vt:lpstr>固定資產無形資產變動表!Print_Titles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廖霙瑞</cp:lastModifiedBy>
  <cp:lastPrinted>2021-01-25T23:37:05Z</cp:lastPrinted>
  <dcterms:created xsi:type="dcterms:W3CDTF">2018-09-12T08:16:57Z</dcterms:created>
  <dcterms:modified xsi:type="dcterms:W3CDTF">2022-06-20T00:34:05Z</dcterms:modified>
</cp:coreProperties>
</file>