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R421\決算\109決算\公告學校網站\"/>
    </mc:Choice>
  </mc:AlternateContent>
  <xr:revisionPtr revIDLastSave="0" documentId="13_ncr:1_{E9B1AF2F-48CC-4DE3-B5F5-FDB47E8FB92B}" xr6:coauthVersionLast="36" xr6:coauthVersionMax="36" xr10:uidLastSave="{00000000-0000-0000-0000-000000000000}"/>
  <bookViews>
    <workbookView xWindow="360" yWindow="570" windowWidth="28035" windowHeight="12015" tabRatio="889" xr2:uid="{00000000-000D-0000-FFFF-FFFF00000000}"/>
  </bookViews>
  <sheets>
    <sheet name="平衡表" sheetId="1" r:id="rId1"/>
    <sheet name="收支餘絀表" sheetId="2" r:id="rId2"/>
    <sheet name="現金流量表" sheetId="7" r:id="rId3"/>
    <sheet name="現金收支概況表" sheetId="6" r:id="rId4"/>
    <sheet name="固定資產無形資產變動表" sheetId="3" r:id="rId5"/>
    <sheet name="收入明細" sheetId="4" r:id="rId6"/>
    <sheet name="支出明細表" sheetId="5" r:id="rId7"/>
  </sheets>
  <externalReferences>
    <externalReference r:id="rId8"/>
  </externalReferences>
  <definedNames>
    <definedName name="_xlnm.Print_Area" localSheetId="4">固定資產無形資產變動表!$A$1:$H$88</definedName>
    <definedName name="_xlnm.Print_Titles" localSheetId="6">支出明細表!$1:$5</definedName>
    <definedName name="_xlnm.Print_Titles" localSheetId="5">收入明細!$1:$5</definedName>
    <definedName name="_xlnm.Print_Titles" localSheetId="4">固定資產無形資產變動表!$1:$4</definedName>
  </definedNames>
  <calcPr calcId="191029"/>
</workbook>
</file>

<file path=xl/calcChain.xml><?xml version="1.0" encoding="utf-8"?>
<calcChain xmlns="http://schemas.openxmlformats.org/spreadsheetml/2006/main">
  <c r="E7" i="5" l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C79" i="3" l="1"/>
  <c r="D79" i="3"/>
  <c r="E79" i="3"/>
  <c r="F79" i="3"/>
  <c r="F88" i="3" s="1"/>
  <c r="G79" i="3"/>
  <c r="C88" i="3"/>
  <c r="G88" i="3"/>
  <c r="C77" i="3"/>
  <c r="C5" i="3" s="1"/>
  <c r="F77" i="3"/>
  <c r="F7" i="2"/>
  <c r="F8" i="2"/>
  <c r="F9" i="2"/>
  <c r="F10" i="2"/>
  <c r="F12" i="2"/>
  <c r="F16" i="2"/>
  <c r="F17" i="2"/>
  <c r="F18" i="2"/>
  <c r="F19" i="2"/>
  <c r="F22" i="2"/>
  <c r="F23" i="2"/>
  <c r="F24" i="2"/>
  <c r="E7" i="2"/>
  <c r="E8" i="2"/>
  <c r="E9" i="2"/>
  <c r="E10" i="2"/>
  <c r="E12" i="2"/>
  <c r="E16" i="2"/>
  <c r="E17" i="2"/>
  <c r="E18" i="2"/>
  <c r="E19" i="2"/>
  <c r="E22" i="2"/>
  <c r="E23" i="2"/>
  <c r="E24" i="2"/>
  <c r="D9" i="2"/>
  <c r="E43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E12" i="1"/>
  <c r="E11" i="1"/>
  <c r="E10" i="1"/>
  <c r="E14" i="1"/>
  <c r="E9" i="1"/>
  <c r="E8" i="1"/>
  <c r="D8" i="1"/>
  <c r="F34" i="6" l="1"/>
  <c r="E35" i="6"/>
  <c r="D34" i="6"/>
  <c r="C35" i="6"/>
  <c r="D25" i="7"/>
  <c r="C25" i="7"/>
  <c r="C8" i="7"/>
  <c r="D28" i="5"/>
  <c r="D19" i="4"/>
  <c r="D12" i="2" s="1"/>
  <c r="B41" i="1"/>
  <c r="B23" i="1"/>
  <c r="B32" i="1"/>
  <c r="C26" i="1"/>
  <c r="D22" i="1"/>
  <c r="G84" i="3" l="1"/>
  <c r="F84" i="3"/>
  <c r="E84" i="3"/>
  <c r="E88" i="3" s="1"/>
  <c r="D84" i="3"/>
  <c r="C84" i="3"/>
  <c r="G80" i="3"/>
  <c r="F80" i="3"/>
  <c r="E80" i="3"/>
  <c r="D80" i="3"/>
  <c r="C80" i="3"/>
  <c r="H85" i="3"/>
  <c r="H86" i="3"/>
  <c r="H87" i="3"/>
  <c r="H75" i="3" l="1"/>
  <c r="H84" i="3"/>
  <c r="F35" i="3"/>
  <c r="G25" i="3" l="1"/>
  <c r="E25" i="3"/>
  <c r="H53" i="3"/>
  <c r="G8" i="3"/>
  <c r="E8" i="3"/>
  <c r="G63" i="3"/>
  <c r="G60" i="3" s="1"/>
  <c r="E63" i="3"/>
  <c r="E60" i="3" s="1"/>
  <c r="H76" i="3"/>
  <c r="D6" i="3"/>
  <c r="F8" i="3" l="1"/>
  <c r="H24" i="3"/>
  <c r="H23" i="3"/>
  <c r="F63" i="3" l="1"/>
  <c r="D66" i="3" l="1"/>
  <c r="D70" i="3"/>
  <c r="D64" i="3"/>
  <c r="D62" i="3"/>
  <c r="D56" i="3"/>
  <c r="D47" i="3"/>
  <c r="D50" i="3"/>
  <c r="D49" i="3"/>
  <c r="D39" i="3"/>
  <c r="D37" i="3"/>
  <c r="D36" i="3"/>
  <c r="D35" i="3"/>
  <c r="D31" i="3"/>
  <c r="D28" i="3"/>
  <c r="D27" i="3"/>
  <c r="D20" i="3"/>
  <c r="D19" i="3"/>
  <c r="D17" i="3"/>
  <c r="D16" i="3"/>
  <c r="D13" i="3"/>
  <c r="D12" i="3"/>
  <c r="D11" i="3"/>
  <c r="D10" i="3"/>
  <c r="D63" i="3" l="1"/>
  <c r="D60" i="3" s="1"/>
  <c r="D8" i="3"/>
  <c r="H8" i="3" s="1"/>
  <c r="D25" i="3"/>
  <c r="D8" i="2" l="1"/>
  <c r="D7" i="2"/>
  <c r="D19" i="2"/>
  <c r="D17" i="2"/>
  <c r="D16" i="2"/>
  <c r="C13" i="1"/>
  <c r="D26" i="5" l="1"/>
  <c r="D18" i="2" s="1"/>
  <c r="F39" i="6" l="1"/>
  <c r="F38" i="6"/>
  <c r="F32" i="6"/>
  <c r="F10" i="6"/>
  <c r="F35" i="6"/>
  <c r="F33" i="6"/>
  <c r="F31" i="6"/>
  <c r="F29" i="6"/>
  <c r="F28" i="6"/>
  <c r="F27" i="6"/>
  <c r="F25" i="6"/>
  <c r="F24" i="6"/>
  <c r="F23" i="6"/>
  <c r="F22" i="6"/>
  <c r="F21" i="6"/>
  <c r="F20" i="6"/>
  <c r="F19" i="6"/>
  <c r="F18" i="6"/>
  <c r="F13" i="6"/>
  <c r="F17" i="6"/>
  <c r="F14" i="6"/>
  <c r="F12" i="6"/>
  <c r="F11" i="6"/>
  <c r="F9" i="6"/>
  <c r="F8" i="6"/>
  <c r="F7" i="6"/>
  <c r="F6" i="6"/>
  <c r="A13" i="2" l="1"/>
  <c r="A9" i="2"/>
  <c r="A6" i="2" s="1"/>
  <c r="A21" i="2" s="1"/>
  <c r="A25" i="2" s="1"/>
  <c r="C41" i="1"/>
  <c r="C39" i="1"/>
  <c r="C35" i="1" s="1"/>
  <c r="C36" i="1"/>
  <c r="C32" i="1"/>
  <c r="C28" i="1"/>
  <c r="C23" i="1"/>
  <c r="C16" i="1"/>
  <c r="C8" i="1"/>
  <c r="C27" i="1" l="1"/>
  <c r="C43" i="1" s="1"/>
  <c r="C19" i="2" l="1"/>
  <c r="C17" i="2"/>
  <c r="C9" i="2"/>
  <c r="C8" i="2"/>
  <c r="C13" i="4" l="1"/>
  <c r="C10" i="2" s="1"/>
  <c r="D13" i="4"/>
  <c r="D10" i="2" s="1"/>
  <c r="E15" i="4"/>
  <c r="F15" i="4" s="1"/>
  <c r="B39" i="1" l="1"/>
  <c r="F25" i="3" l="1"/>
  <c r="H25" i="3" s="1"/>
  <c r="E7" i="3"/>
  <c r="C18" i="2" l="1"/>
  <c r="F7" i="3" l="1"/>
  <c r="F60" i="3" l="1"/>
  <c r="C27" i="6"/>
  <c r="D33" i="5"/>
  <c r="D20" i="2" s="1"/>
  <c r="E20" i="2" s="1"/>
  <c r="F20" i="2" s="1"/>
  <c r="C33" i="5"/>
  <c r="C20" i="2" s="1"/>
  <c r="F34" i="5"/>
  <c r="F10" i="5"/>
  <c r="D25" i="5"/>
  <c r="D18" i="5"/>
  <c r="D6" i="5"/>
  <c r="C6" i="4"/>
  <c r="C7" i="2" s="1"/>
  <c r="E39" i="6"/>
  <c r="C39" i="6"/>
  <c r="E27" i="6"/>
  <c r="C25" i="5"/>
  <c r="C6" i="5"/>
  <c r="C14" i="2" s="1"/>
  <c r="C10" i="4"/>
  <c r="D14" i="2" l="1"/>
  <c r="E14" i="2" s="1"/>
  <c r="F14" i="2" s="1"/>
  <c r="C15" i="6"/>
  <c r="D32" i="6" l="1"/>
  <c r="D10" i="6"/>
  <c r="D6" i="6"/>
  <c r="D38" i="6"/>
  <c r="D39" i="6" s="1"/>
  <c r="D33" i="6"/>
  <c r="D23" i="6"/>
  <c r="D31" i="6"/>
  <c r="D22" i="6"/>
  <c r="D7" i="6"/>
  <c r="D21" i="6"/>
  <c r="D15" i="6"/>
  <c r="D14" i="6"/>
  <c r="D19" i="6"/>
  <c r="D13" i="6"/>
  <c r="D18" i="6"/>
  <c r="D12" i="6"/>
  <c r="D25" i="6"/>
  <c r="D17" i="6"/>
  <c r="D11" i="6"/>
  <c r="D24" i="6"/>
  <c r="D9" i="6"/>
  <c r="D29" i="6"/>
  <c r="D20" i="6"/>
  <c r="D8" i="6"/>
  <c r="D42" i="1" l="1"/>
  <c r="D24" i="2" s="1"/>
  <c r="E15" i="6" l="1"/>
  <c r="F15" i="6" l="1"/>
  <c r="C14" i="7"/>
  <c r="C17" i="7" s="1"/>
  <c r="C28" i="6"/>
  <c r="D28" i="6" s="1"/>
  <c r="D41" i="1"/>
  <c r="D23" i="2" l="1"/>
  <c r="D31" i="7"/>
  <c r="E28" i="6" l="1"/>
  <c r="D9" i="1"/>
  <c r="D10" i="1"/>
  <c r="D11" i="1"/>
  <c r="D12" i="1"/>
  <c r="D14" i="1"/>
  <c r="D15" i="1"/>
  <c r="D17" i="1"/>
  <c r="D18" i="1"/>
  <c r="D19" i="1"/>
  <c r="D20" i="1"/>
  <c r="D21" i="1"/>
  <c r="D24" i="1"/>
  <c r="D25" i="1"/>
  <c r="D29" i="1"/>
  <c r="D30" i="1"/>
  <c r="D31" i="1"/>
  <c r="D33" i="1"/>
  <c r="D34" i="1"/>
  <c r="D37" i="1"/>
  <c r="D38" i="1"/>
  <c r="B36" i="1"/>
  <c r="B16" i="1"/>
  <c r="B13" i="1"/>
  <c r="B8" i="1"/>
  <c r="B26" i="1" l="1"/>
  <c r="E36" i="6"/>
  <c r="D16" i="1"/>
  <c r="D13" i="1"/>
  <c r="D36" i="1"/>
  <c r="F36" i="6" l="1"/>
  <c r="E40" i="6"/>
  <c r="F40" i="6" s="1"/>
  <c r="E7" i="4"/>
  <c r="E8" i="4"/>
  <c r="E9" i="4"/>
  <c r="D6" i="7" l="1"/>
  <c r="H17" i="3"/>
  <c r="D8" i="7" l="1"/>
  <c r="D14" i="7" s="1"/>
  <c r="D17" i="7" s="1"/>
  <c r="D32" i="7" s="1"/>
  <c r="D34" i="7" s="1"/>
  <c r="H6" i="3"/>
  <c r="H68" i="3"/>
  <c r="H67" i="3"/>
  <c r="H28" i="3"/>
  <c r="B35" i="1" l="1"/>
  <c r="D40" i="1"/>
  <c r="C31" i="7"/>
  <c r="C34" i="7" s="1"/>
  <c r="E15" i="1"/>
  <c r="E17" i="1"/>
  <c r="E18" i="1"/>
  <c r="E19" i="1"/>
  <c r="E20" i="1"/>
  <c r="E21" i="1"/>
  <c r="B28" i="1" l="1"/>
  <c r="D28" i="1" l="1"/>
  <c r="D27" i="6"/>
  <c r="C36" i="6"/>
  <c r="D35" i="6"/>
  <c r="F16" i="5"/>
  <c r="D36" i="6" l="1"/>
  <c r="C40" i="6"/>
  <c r="D40" i="6" s="1"/>
  <c r="F9" i="5"/>
  <c r="F35" i="5"/>
  <c r="F32" i="5"/>
  <c r="F31" i="5"/>
  <c r="F30" i="5"/>
  <c r="F29" i="5"/>
  <c r="F28" i="5"/>
  <c r="F27" i="5"/>
  <c r="F24" i="5"/>
  <c r="F23" i="5"/>
  <c r="F22" i="5"/>
  <c r="F21" i="5"/>
  <c r="F20" i="5"/>
  <c r="F19" i="5"/>
  <c r="C18" i="5"/>
  <c r="C16" i="2" s="1"/>
  <c r="F17" i="5"/>
  <c r="F15" i="5"/>
  <c r="F14" i="5"/>
  <c r="F13" i="5"/>
  <c r="D12" i="5"/>
  <c r="C12" i="5"/>
  <c r="C15" i="2" s="1"/>
  <c r="F11" i="5"/>
  <c r="F8" i="5"/>
  <c r="F7" i="5"/>
  <c r="D15" i="2" l="1"/>
  <c r="D36" i="5"/>
  <c r="E36" i="5" s="1"/>
  <c r="C36" i="5"/>
  <c r="F25" i="5"/>
  <c r="F18" i="5"/>
  <c r="F26" i="5"/>
  <c r="F33" i="5"/>
  <c r="E6" i="5"/>
  <c r="F6" i="5" s="1"/>
  <c r="C19" i="4"/>
  <c r="C12" i="2" s="1"/>
  <c r="E20" i="4"/>
  <c r="F20" i="4" s="1"/>
  <c r="F19" i="4" s="1"/>
  <c r="E18" i="4"/>
  <c r="F18" i="4" s="1"/>
  <c r="E17" i="4"/>
  <c r="F17" i="4" s="1"/>
  <c r="D16" i="4"/>
  <c r="D11" i="2" s="1"/>
  <c r="C16" i="4"/>
  <c r="C11" i="2" s="1"/>
  <c r="E14" i="4"/>
  <c r="F14" i="4" s="1"/>
  <c r="F13" i="4" s="1"/>
  <c r="E12" i="4"/>
  <c r="F12" i="4" s="1"/>
  <c r="E11" i="4"/>
  <c r="F11" i="4" s="1"/>
  <c r="D10" i="4"/>
  <c r="F8" i="4"/>
  <c r="F7" i="4"/>
  <c r="D6" i="4"/>
  <c r="D13" i="2" l="1"/>
  <c r="E13" i="2" s="1"/>
  <c r="F13" i="2" s="1"/>
  <c r="E15" i="2"/>
  <c r="F15" i="2" s="1"/>
  <c r="D6" i="2"/>
  <c r="E11" i="2"/>
  <c r="F11" i="2" s="1"/>
  <c r="D37" i="5"/>
  <c r="E6" i="4"/>
  <c r="F6" i="4" s="1"/>
  <c r="E19" i="4"/>
  <c r="F12" i="5"/>
  <c r="F36" i="5" s="1"/>
  <c r="D21" i="4"/>
  <c r="D22" i="4" s="1"/>
  <c r="E13" i="4"/>
  <c r="E16" i="4"/>
  <c r="F16" i="4" s="1"/>
  <c r="E10" i="4"/>
  <c r="F10" i="4" s="1"/>
  <c r="C21" i="4"/>
  <c r="F9" i="4"/>
  <c r="H83" i="3"/>
  <c r="H79" i="3" s="1"/>
  <c r="H82" i="3"/>
  <c r="H81" i="3"/>
  <c r="H80" i="3"/>
  <c r="H78" i="3"/>
  <c r="H77" i="3"/>
  <c r="H74" i="3"/>
  <c r="H73" i="3"/>
  <c r="H72" i="3"/>
  <c r="H71" i="3"/>
  <c r="H70" i="3"/>
  <c r="H69" i="3"/>
  <c r="H66" i="3"/>
  <c r="H65" i="3"/>
  <c r="H64" i="3"/>
  <c r="H60" i="3"/>
  <c r="H62" i="3"/>
  <c r="H61" i="3"/>
  <c r="H59" i="3"/>
  <c r="H58" i="3"/>
  <c r="H57" i="3"/>
  <c r="H56" i="3"/>
  <c r="G55" i="3"/>
  <c r="G54" i="3" s="1"/>
  <c r="F55" i="3"/>
  <c r="F54" i="3" s="1"/>
  <c r="F5" i="3" s="1"/>
  <c r="E55" i="3"/>
  <c r="E54" i="3" s="1"/>
  <c r="D55" i="3"/>
  <c r="D54" i="3" s="1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7" i="3"/>
  <c r="H26" i="3"/>
  <c r="H11" i="3"/>
  <c r="H22" i="3"/>
  <c r="H21" i="3"/>
  <c r="H20" i="3"/>
  <c r="H19" i="3"/>
  <c r="H18" i="3"/>
  <c r="H16" i="3"/>
  <c r="H15" i="3"/>
  <c r="H14" i="3"/>
  <c r="H13" i="3"/>
  <c r="H12" i="3"/>
  <c r="H10" i="3"/>
  <c r="H9" i="3"/>
  <c r="D21" i="2" l="1"/>
  <c r="E6" i="2"/>
  <c r="F6" i="2" s="1"/>
  <c r="H55" i="3"/>
  <c r="H63" i="3"/>
  <c r="E5" i="3"/>
  <c r="D7" i="3"/>
  <c r="D5" i="3" s="1"/>
  <c r="D88" i="3" s="1"/>
  <c r="G7" i="3"/>
  <c r="G5" i="3" s="1"/>
  <c r="E21" i="4"/>
  <c r="F21" i="4" s="1"/>
  <c r="C13" i="2"/>
  <c r="C37" i="5" s="1"/>
  <c r="C6" i="2"/>
  <c r="C22" i="4" s="1"/>
  <c r="E21" i="2" l="1"/>
  <c r="F21" i="2" s="1"/>
  <c r="D25" i="2"/>
  <c r="E25" i="2" s="1"/>
  <c r="F25" i="2" s="1"/>
  <c r="H54" i="3"/>
  <c r="C21" i="2"/>
  <c r="C25" i="2" s="1"/>
  <c r="H7" i="3"/>
  <c r="H5" i="3" s="1"/>
  <c r="H88" i="3" s="1"/>
  <c r="D23" i="1" l="1"/>
  <c r="D26" i="1" l="1"/>
  <c r="D32" i="1"/>
  <c r="B27" i="1"/>
  <c r="B43" i="1" s="1"/>
  <c r="D39" i="1"/>
  <c r="E16" i="1"/>
  <c r="D35" i="1"/>
  <c r="D27" i="1" l="1"/>
  <c r="D43" i="1"/>
</calcChain>
</file>

<file path=xl/sharedStrings.xml><?xml version="1.0" encoding="utf-8"?>
<sst xmlns="http://schemas.openxmlformats.org/spreadsheetml/2006/main" count="369" uniqueCount="334">
  <si>
    <t>流動資產</t>
  </si>
  <si>
    <t>　現金</t>
  </si>
  <si>
    <t>　銀行存款</t>
  </si>
  <si>
    <t>　預付款項</t>
  </si>
  <si>
    <t>長期投資，應收款及基金</t>
  </si>
  <si>
    <t>　特種基金</t>
  </si>
  <si>
    <t>固定資產</t>
  </si>
  <si>
    <t>　機械儀器及設備</t>
  </si>
  <si>
    <t>　圖書及博物</t>
  </si>
  <si>
    <t>　其他設備</t>
  </si>
  <si>
    <t>　存出保證金</t>
  </si>
  <si>
    <t>流動負債</t>
  </si>
  <si>
    <t>　應付款項</t>
  </si>
  <si>
    <t>　預收款項</t>
  </si>
  <si>
    <t>　代收款項</t>
  </si>
  <si>
    <t>　存入保證金</t>
  </si>
  <si>
    <t>　指定用途權益基金</t>
  </si>
  <si>
    <t>　未指定用途權益基金</t>
  </si>
  <si>
    <t>餘絀</t>
  </si>
  <si>
    <t>　累積餘絀</t>
  </si>
  <si>
    <t>比較增減</t>
    <phoneticPr fontId="1" type="noConversion"/>
  </si>
  <si>
    <t>(本)年07月31日決算數(1)</t>
    <phoneticPr fontId="1" type="noConversion"/>
  </si>
  <si>
    <t>(上)年07月31日決算數(2)</t>
    <phoneticPr fontId="1" type="noConversion"/>
  </si>
  <si>
    <t>其他資產</t>
    <phoneticPr fontId="1" type="noConversion"/>
  </si>
  <si>
    <t>負債</t>
    <phoneticPr fontId="1" type="noConversion"/>
  </si>
  <si>
    <t>　閒置資產---土地</t>
    <phoneticPr fontId="1" type="noConversion"/>
  </si>
  <si>
    <t>其他負債</t>
    <phoneticPr fontId="1" type="noConversion"/>
  </si>
  <si>
    <t>上年度決算數</t>
  </si>
  <si>
    <t>各項收入</t>
  </si>
  <si>
    <t>　學雜費收入</t>
  </si>
  <si>
    <t>　其他教學活動收入</t>
  </si>
  <si>
    <t>　補助及捐贈收入</t>
  </si>
  <si>
    <t>　財務收入</t>
  </si>
  <si>
    <t>　其他收入</t>
  </si>
  <si>
    <t>各項支出</t>
  </si>
  <si>
    <t>　董事會支出</t>
  </si>
  <si>
    <t>　行政管理支出</t>
  </si>
  <si>
    <t>　教學研究及訓輔支出</t>
  </si>
  <si>
    <t>　獎助學金支出</t>
  </si>
  <si>
    <t>　推廣教育支出</t>
  </si>
  <si>
    <t>　其他教學活動支出</t>
    <phoneticPr fontId="1" type="noConversion"/>
  </si>
  <si>
    <t>　其他支出</t>
  </si>
  <si>
    <t>科目</t>
    <phoneticPr fontId="1" type="noConversion"/>
  </si>
  <si>
    <t>比較增減</t>
    <phoneticPr fontId="1" type="noConversion"/>
  </si>
  <si>
    <t xml:space="preserve">  金額                (3)=(2)-(1)</t>
    <phoneticPr fontId="1" type="noConversion"/>
  </si>
  <si>
    <t xml:space="preserve">   ％           (4)=(3)/(1)*100</t>
    <phoneticPr fontId="1" type="noConversion"/>
  </si>
  <si>
    <t>科  目  名 稱</t>
    <phoneticPr fontId="1" type="noConversion"/>
  </si>
  <si>
    <t>結存</t>
    <phoneticPr fontId="1" type="noConversion"/>
  </si>
  <si>
    <t>　　廣告設計科</t>
  </si>
  <si>
    <t>　　綜合高中部</t>
  </si>
  <si>
    <t>　　資處科</t>
  </si>
  <si>
    <t>　　教務處</t>
  </si>
  <si>
    <t>　　教導處</t>
  </si>
  <si>
    <t>　　學務處</t>
  </si>
  <si>
    <t>　　心理輔導室</t>
  </si>
  <si>
    <t>　　銅樂器</t>
  </si>
  <si>
    <t>　　實習處</t>
  </si>
  <si>
    <t>　　行政電腦組</t>
  </si>
  <si>
    <t>　　教官室</t>
  </si>
  <si>
    <t>　　中正社大</t>
  </si>
  <si>
    <t>　　總務處</t>
  </si>
  <si>
    <t>　　人事室</t>
  </si>
  <si>
    <t>　　會計室</t>
  </si>
  <si>
    <t>　　校長室</t>
  </si>
  <si>
    <t>　　董事會</t>
  </si>
  <si>
    <t>其他資產</t>
    <phoneticPr fontId="1" type="noConversion"/>
  </si>
  <si>
    <t>固定資產及無形資產合計</t>
  </si>
  <si>
    <t>預算數</t>
  </si>
  <si>
    <t>實際數</t>
  </si>
  <si>
    <t>差異</t>
  </si>
  <si>
    <t>％</t>
  </si>
  <si>
    <t>學雜費收入</t>
    <phoneticPr fontId="3" type="noConversion"/>
  </si>
  <si>
    <t>推廣教育及其他教學活動收入</t>
    <phoneticPr fontId="3" type="noConversion"/>
  </si>
  <si>
    <t>補助及受贈收入</t>
    <phoneticPr fontId="3" type="noConversion"/>
  </si>
  <si>
    <t>財務收入</t>
  </si>
  <si>
    <t>其他收入</t>
  </si>
  <si>
    <t>科目</t>
    <phoneticPr fontId="3" type="noConversion"/>
  </si>
  <si>
    <t>比較</t>
  </si>
  <si>
    <t>備註</t>
  </si>
  <si>
    <t>差異</t>
    <phoneticPr fontId="3" type="noConversion"/>
  </si>
  <si>
    <t>％</t>
    <phoneticPr fontId="3" type="noConversion"/>
  </si>
  <si>
    <t>董事會支出</t>
  </si>
  <si>
    <t>行政管理支出</t>
  </si>
  <si>
    <t xml:space="preserve"> </t>
    <phoneticPr fontId="3" type="noConversion"/>
  </si>
  <si>
    <t>教學研究及訓輔支出</t>
  </si>
  <si>
    <t>推廣教育及其他教學支出</t>
    <phoneticPr fontId="1" type="noConversion"/>
  </si>
  <si>
    <t>其他支出</t>
  </si>
  <si>
    <t>(本)年度</t>
    <phoneticPr fontId="3" type="noConversion"/>
  </si>
  <si>
    <t>佔經常門          現金收入%</t>
    <phoneticPr fontId="3" type="noConversion"/>
  </si>
  <si>
    <t>(上)年度</t>
    <phoneticPr fontId="3" type="noConversion"/>
  </si>
  <si>
    <t>佔經常門          現金收入%</t>
  </si>
  <si>
    <t>經常門現金餘(絀)</t>
    <phoneticPr fontId="3" type="noConversion"/>
  </si>
  <si>
    <t>購置不動產現金支出</t>
    <phoneticPr fontId="3" type="noConversion"/>
  </si>
  <si>
    <t>本期現金餘(絀)</t>
    <phoneticPr fontId="3" type="noConversion"/>
  </si>
  <si>
    <t>(本)學年度</t>
    <phoneticPr fontId="1" type="noConversion"/>
  </si>
  <si>
    <t>(上)學年度</t>
    <phoneticPr fontId="1" type="noConversion"/>
  </si>
  <si>
    <t>營運活動現金流量</t>
    <phoneticPr fontId="1" type="noConversion"/>
  </si>
  <si>
    <t xml:space="preserve"> </t>
    <phoneticPr fontId="1" type="noConversion"/>
  </si>
  <si>
    <t>期初現金及銀行存款餘額</t>
  </si>
  <si>
    <t>期末現金及銀行存款餘額</t>
  </si>
  <si>
    <t>金額                       (3)=(1)-(2)</t>
    <phoneticPr fontId="1" type="noConversion"/>
  </si>
  <si>
    <t xml:space="preserve">  ％(4)=(3)/(2)*100</t>
    <phoneticPr fontId="1" type="noConversion"/>
  </si>
  <si>
    <t>　應收款項淨額</t>
    <phoneticPr fontId="1" type="noConversion"/>
  </si>
  <si>
    <t>　房屋及建築</t>
    <phoneticPr fontId="1" type="noConversion"/>
  </si>
  <si>
    <t>資產</t>
    <phoneticPr fontId="1" type="noConversion"/>
  </si>
  <si>
    <t>資產總計</t>
    <phoneticPr fontId="1" type="noConversion"/>
  </si>
  <si>
    <t>　應付退休金及離職金</t>
    <phoneticPr fontId="1" type="noConversion"/>
  </si>
  <si>
    <t>負債、權益基金及餘絀總計</t>
    <phoneticPr fontId="1" type="noConversion"/>
  </si>
  <si>
    <t>本期現金及銀行存款淨流入(出)</t>
    <phoneticPr fontId="1" type="noConversion"/>
  </si>
  <si>
    <t>購置動產、無形資產及其他資產現金支出</t>
    <phoneticPr fontId="3" type="noConversion"/>
  </si>
  <si>
    <t>扣減不動產支出前現金餘(絀)</t>
    <phoneticPr fontId="3" type="noConversion"/>
  </si>
  <si>
    <t>獎助學金支出</t>
    <phoneticPr fontId="1" type="noConversion"/>
  </si>
  <si>
    <t>權益基金</t>
    <phoneticPr fontId="1" type="noConversion"/>
  </si>
  <si>
    <t>權益其他項目</t>
    <phoneticPr fontId="1" type="noConversion"/>
  </si>
  <si>
    <t>權益基金及餘絀</t>
    <phoneticPr fontId="1" type="noConversion"/>
  </si>
  <si>
    <t xml:space="preserve">  金融商品未實現餘絀</t>
    <phoneticPr fontId="1" type="noConversion"/>
  </si>
  <si>
    <t>投資活動現金流量:</t>
    <phoneticPr fontId="1" type="noConversion"/>
  </si>
  <si>
    <t>本期餘絀</t>
    <phoneticPr fontId="1" type="noConversion"/>
  </si>
  <si>
    <t>其他綜合餘絀</t>
    <phoneticPr fontId="1" type="noConversion"/>
  </si>
  <si>
    <t>備供出售金融資產           未實現餘絀</t>
    <phoneticPr fontId="1" type="noConversion"/>
  </si>
  <si>
    <t>本期其他綜合餘絀</t>
    <phoneticPr fontId="1" type="noConversion"/>
  </si>
  <si>
    <t>本期綜合餘絀總額</t>
    <phoneticPr fontId="1" type="noConversion"/>
  </si>
  <si>
    <t xml:space="preserve"> </t>
    <phoneticPr fontId="1" type="noConversion"/>
  </si>
  <si>
    <t>(本)年度預算數
(1)</t>
    <phoneticPr fontId="1" type="noConversion"/>
  </si>
  <si>
    <t>(本)年度決算數
(2)</t>
    <phoneticPr fontId="1" type="noConversion"/>
  </si>
  <si>
    <t xml:space="preserve">  推廣教育收入</t>
    <phoneticPr fontId="1" type="noConversion"/>
  </si>
  <si>
    <t>建築物</t>
    <phoneticPr fontId="1" type="noConversion"/>
  </si>
  <si>
    <t>機械儀器及設備</t>
    <phoneticPr fontId="1" type="noConversion"/>
  </si>
  <si>
    <t xml:space="preserve"> 機械儀器設備</t>
    <phoneticPr fontId="1" type="noConversion"/>
  </si>
  <si>
    <t>實驗研究組</t>
    <phoneticPr fontId="1" type="noConversion"/>
  </si>
  <si>
    <t>　　</t>
    <phoneticPr fontId="1" type="noConversion"/>
  </si>
  <si>
    <t>機電科</t>
    <phoneticPr fontId="1" type="noConversion"/>
  </si>
  <si>
    <t>照顧服務科</t>
    <phoneticPr fontId="1" type="noConversion"/>
  </si>
  <si>
    <t>電子科</t>
    <phoneticPr fontId="1" type="noConversion"/>
  </si>
  <si>
    <t>電機科</t>
    <phoneticPr fontId="1" type="noConversion"/>
  </si>
  <si>
    <t>建築科</t>
    <phoneticPr fontId="1" type="noConversion"/>
  </si>
  <si>
    <t>建築製圖科</t>
    <phoneticPr fontId="1" type="noConversion"/>
  </si>
  <si>
    <t>汽車科</t>
    <phoneticPr fontId="1" type="noConversion"/>
  </si>
  <si>
    <t>資訊科</t>
    <phoneticPr fontId="1" type="noConversion"/>
  </si>
  <si>
    <t>觀光事業科</t>
    <phoneticPr fontId="1" type="noConversion"/>
  </si>
  <si>
    <t>廣告設計科</t>
    <phoneticPr fontId="1" type="noConversion"/>
  </si>
  <si>
    <t>綜合高中部</t>
    <phoneticPr fontId="1" type="noConversion"/>
  </si>
  <si>
    <t>資處科</t>
    <phoneticPr fontId="1" type="noConversion"/>
  </si>
  <si>
    <t>餐飲科</t>
    <phoneticPr fontId="1" type="noConversion"/>
  </si>
  <si>
    <t xml:space="preserve"> 雜項設備</t>
    <phoneticPr fontId="1" type="noConversion"/>
  </si>
  <si>
    <t>　　</t>
    <phoneticPr fontId="1" type="noConversion"/>
  </si>
  <si>
    <t xml:space="preserve">        </t>
    <phoneticPr fontId="1" type="noConversion"/>
  </si>
  <si>
    <t>照顧服務科</t>
    <phoneticPr fontId="1" type="noConversion"/>
  </si>
  <si>
    <t>廣告設計科</t>
    <phoneticPr fontId="1" type="noConversion"/>
  </si>
  <si>
    <t>教務處</t>
    <phoneticPr fontId="1" type="noConversion"/>
  </si>
  <si>
    <t>教導處</t>
    <phoneticPr fontId="1" type="noConversion"/>
  </si>
  <si>
    <t>學務處</t>
    <phoneticPr fontId="1" type="noConversion"/>
  </si>
  <si>
    <t>心理輔導室</t>
    <phoneticPr fontId="1" type="noConversion"/>
  </si>
  <si>
    <t>實習處</t>
    <phoneticPr fontId="1" type="noConversion"/>
  </si>
  <si>
    <t>行政電腦組</t>
    <phoneticPr fontId="1" type="noConversion"/>
  </si>
  <si>
    <t>教官室</t>
    <phoneticPr fontId="1" type="noConversion"/>
  </si>
  <si>
    <t>中正社大</t>
    <phoneticPr fontId="1" type="noConversion"/>
  </si>
  <si>
    <t>總務處</t>
    <phoneticPr fontId="1" type="noConversion"/>
  </si>
  <si>
    <t>人事室</t>
    <phoneticPr fontId="1" type="noConversion"/>
  </si>
  <si>
    <t>會計室</t>
    <phoneticPr fontId="1" type="noConversion"/>
  </si>
  <si>
    <t>校長室</t>
    <phoneticPr fontId="1" type="noConversion"/>
  </si>
  <si>
    <t>董事會</t>
    <phoneticPr fontId="1" type="noConversion"/>
  </si>
  <si>
    <t>圖書</t>
    <phoneticPr fontId="1" type="noConversion"/>
  </si>
  <si>
    <t>中文</t>
    <phoneticPr fontId="1" type="noConversion"/>
  </si>
  <si>
    <t>英文</t>
    <phoneticPr fontId="1" type="noConversion"/>
  </si>
  <si>
    <t>日文</t>
    <phoneticPr fontId="1" type="noConversion"/>
  </si>
  <si>
    <t>博物</t>
    <phoneticPr fontId="1" type="noConversion"/>
  </si>
  <si>
    <t xml:space="preserve"> 其他設備</t>
    <phoneticPr fontId="1" type="noConversion"/>
  </si>
  <si>
    <t xml:space="preserve"> 圖書及博物</t>
    <phoneticPr fontId="1" type="noConversion"/>
  </si>
  <si>
    <t xml:space="preserve"> 預付土地工程及設備款</t>
    <phoneticPr fontId="1" type="noConversion"/>
  </si>
  <si>
    <t>預付土地款</t>
    <phoneticPr fontId="1" type="noConversion"/>
  </si>
  <si>
    <t>運輸設備</t>
    <phoneticPr fontId="1" type="noConversion"/>
  </si>
  <si>
    <t>消防設備</t>
    <phoneticPr fontId="1" type="noConversion"/>
  </si>
  <si>
    <t>事務設備</t>
    <phoneticPr fontId="1" type="noConversion"/>
  </si>
  <si>
    <t>長期應收分期帳款-關係人</t>
    <phoneticPr fontId="1" type="noConversion"/>
  </si>
  <si>
    <t xml:space="preserve"> 存出保證金</t>
    <phoneticPr fontId="1" type="noConversion"/>
  </si>
  <si>
    <t>存出保證金(學校)</t>
    <phoneticPr fontId="1" type="noConversion"/>
  </si>
  <si>
    <t>存出保證金(社大)</t>
    <phoneticPr fontId="1" type="noConversion"/>
  </si>
  <si>
    <t>上年度止 
結存金額</t>
    <phoneticPr fontId="1" type="noConversion"/>
  </si>
  <si>
    <t>本年度購入
增加金額</t>
    <phoneticPr fontId="1" type="noConversion"/>
  </si>
  <si>
    <t xml:space="preserve">本年度
減少金額 </t>
    <phoneticPr fontId="1" type="noConversion"/>
  </si>
  <si>
    <t>本年度調撥
增加金額</t>
    <phoneticPr fontId="1" type="noConversion"/>
  </si>
  <si>
    <t>本年度調撥
減少金額</t>
    <phoneticPr fontId="1" type="noConversion"/>
  </si>
  <si>
    <t xml:space="preserve">備註  </t>
    <phoneticPr fontId="3" type="noConversion"/>
  </si>
  <si>
    <t>比較</t>
    <phoneticPr fontId="3" type="noConversion"/>
  </si>
  <si>
    <t>科目</t>
    <phoneticPr fontId="3" type="noConversion"/>
  </si>
  <si>
    <t>臺北市開南高級中等學校</t>
    <phoneticPr fontId="1" type="noConversion"/>
  </si>
  <si>
    <t xml:space="preserve">臺北市開南高級中等學校     </t>
    <phoneticPr fontId="1" type="noConversion"/>
  </si>
  <si>
    <t>臺北市開南高級中等學校</t>
    <phoneticPr fontId="3" type="noConversion"/>
  </si>
  <si>
    <t>退休撫卹費</t>
    <phoneticPr fontId="1" type="noConversion"/>
  </si>
  <si>
    <t>人事費</t>
    <phoneticPr fontId="1" type="noConversion"/>
  </si>
  <si>
    <t>業務費</t>
    <phoneticPr fontId="1" type="noConversion"/>
  </si>
  <si>
    <t>出席及交通費</t>
    <phoneticPr fontId="1" type="noConversion"/>
  </si>
  <si>
    <t>業務費</t>
    <phoneticPr fontId="3" type="noConversion"/>
  </si>
  <si>
    <t>維護費</t>
    <phoneticPr fontId="3" type="noConversion"/>
  </si>
  <si>
    <t>折舊及攤銷</t>
    <phoneticPr fontId="3" type="noConversion"/>
  </si>
  <si>
    <t>退休撫卹費</t>
    <phoneticPr fontId="1" type="noConversion"/>
  </si>
  <si>
    <t>推廣教育支出</t>
    <phoneticPr fontId="1" type="noConversion"/>
  </si>
  <si>
    <t xml:space="preserve"> 人事費</t>
    <phoneticPr fontId="1" type="noConversion"/>
  </si>
  <si>
    <t xml:space="preserve"> 業務費</t>
    <phoneticPr fontId="1" type="noConversion"/>
  </si>
  <si>
    <t xml:space="preserve"> 維護費</t>
    <phoneticPr fontId="3" type="noConversion"/>
  </si>
  <si>
    <t xml:space="preserve"> 退休撫卹費</t>
    <phoneticPr fontId="1" type="noConversion"/>
  </si>
  <si>
    <t xml:space="preserve"> 折舊及攤銷</t>
    <phoneticPr fontId="3" type="noConversion"/>
  </si>
  <si>
    <t>其他教學支出</t>
    <phoneticPr fontId="1" type="noConversion"/>
  </si>
  <si>
    <t>合計</t>
    <phoneticPr fontId="1" type="noConversion"/>
  </si>
  <si>
    <t>超額年金給付</t>
    <phoneticPr fontId="3" type="noConversion"/>
  </si>
  <si>
    <t>經常門現金收入</t>
    <phoneticPr fontId="3" type="noConversion"/>
  </si>
  <si>
    <t>其他教學活動收入</t>
    <phoneticPr fontId="3" type="noConversion"/>
  </si>
  <si>
    <t>項目</t>
    <phoneticPr fontId="3" type="noConversion"/>
  </si>
  <si>
    <t>學雜費收入</t>
    <phoneticPr fontId="1" type="noConversion"/>
  </si>
  <si>
    <t>推廣教育收入</t>
    <phoneticPr fontId="3" type="noConversion"/>
  </si>
  <si>
    <t>補助及受贈收入</t>
    <phoneticPr fontId="3" type="noConversion"/>
  </si>
  <si>
    <t>財務收入</t>
    <phoneticPr fontId="1" type="noConversion"/>
  </si>
  <si>
    <t>其他收入</t>
    <phoneticPr fontId="1" type="noConversion"/>
  </si>
  <si>
    <t>減:不產生現金流入之收入</t>
    <phoneticPr fontId="1" type="noConversion"/>
  </si>
  <si>
    <t>應收預收項目調整增(減)數</t>
    <phoneticPr fontId="3" type="noConversion"/>
  </si>
  <si>
    <t>利息股利調整數</t>
    <phoneticPr fontId="1" type="noConversion"/>
  </si>
  <si>
    <t xml:space="preserve">  經常門現金收入合計數</t>
    <phoneticPr fontId="3" type="noConversion"/>
  </si>
  <si>
    <t>經常門現金支出</t>
    <phoneticPr fontId="3" type="noConversion"/>
  </si>
  <si>
    <t>董事會支出</t>
    <phoneticPr fontId="1" type="noConversion"/>
  </si>
  <si>
    <t>行政管理支出</t>
    <phoneticPr fontId="1" type="noConversion"/>
  </si>
  <si>
    <t>教學研究及訓輔支出</t>
    <phoneticPr fontId="1" type="noConversion"/>
  </si>
  <si>
    <t>獎助學金支出</t>
    <phoneticPr fontId="1" type="noConversion"/>
  </si>
  <si>
    <t>推廣教育支出</t>
    <phoneticPr fontId="3" type="noConversion"/>
  </si>
  <si>
    <t>其他教學活動支出</t>
    <phoneticPr fontId="3" type="noConversion"/>
  </si>
  <si>
    <t>其他支出</t>
    <phoneticPr fontId="1" type="noConversion"/>
  </si>
  <si>
    <t>減:不產生現金流出之支出</t>
    <phoneticPr fontId="3" type="noConversion"/>
  </si>
  <si>
    <t>應付預付項目調整增(減)數</t>
    <phoneticPr fontId="3" type="noConversion"/>
  </si>
  <si>
    <t xml:space="preserve">  經常門現金支出合計數</t>
    <phoneticPr fontId="3" type="noConversion"/>
  </si>
  <si>
    <t>利息調整數</t>
    <phoneticPr fontId="3" type="noConversion"/>
  </si>
  <si>
    <t>機器儀器及設備</t>
    <phoneticPr fontId="3" type="noConversion"/>
  </si>
  <si>
    <t>圖書及博物</t>
    <phoneticPr fontId="3" type="noConversion"/>
  </si>
  <si>
    <t>其他設備</t>
    <phoneticPr fontId="3" type="noConversion"/>
  </si>
  <si>
    <t xml:space="preserve">  購置動產、無形資產及其他資產現金支出合計</t>
    <phoneticPr fontId="1" type="noConversion"/>
  </si>
  <si>
    <t>房屋及建築</t>
    <phoneticPr fontId="1" type="noConversion"/>
  </si>
  <si>
    <t xml:space="preserve">  購置不動產現金支出合計</t>
    <phoneticPr fontId="1" type="noConversion"/>
  </si>
  <si>
    <t>籌資活動現金流量</t>
    <phoneticPr fontId="1" type="noConversion"/>
  </si>
  <si>
    <t>本期餘(絀)</t>
    <phoneticPr fontId="1" type="noConversion"/>
  </si>
  <si>
    <t>利息股利之調整</t>
    <phoneticPr fontId="1" type="noConversion"/>
  </si>
  <si>
    <t>未計利息股利之本期餘(絀)</t>
    <phoneticPr fontId="1" type="noConversion"/>
  </si>
  <si>
    <t>調整項目</t>
    <phoneticPr fontId="1" type="noConversion"/>
  </si>
  <si>
    <t xml:space="preserve">  加:不產生現金流出之成本與費用</t>
    <phoneticPr fontId="1" type="noConversion"/>
  </si>
  <si>
    <t xml:space="preserve">  減:不產生現金流入之收入</t>
    <phoneticPr fontId="1" type="noConversion"/>
  </si>
  <si>
    <t xml:space="preserve">  流動資產調整項目淨(增)減數</t>
    <phoneticPr fontId="1" type="noConversion"/>
  </si>
  <si>
    <t xml:space="preserve">  流動負債調整項目淨增(減)數</t>
    <phoneticPr fontId="1" type="noConversion"/>
  </si>
  <si>
    <t>未計利息股利之現金流入(出)</t>
    <phoneticPr fontId="1" type="noConversion"/>
  </si>
  <si>
    <t>收取利息</t>
    <phoneticPr fontId="1" type="noConversion"/>
  </si>
  <si>
    <t>收取股利</t>
    <phoneticPr fontId="1" type="noConversion"/>
  </si>
  <si>
    <t>營運活動之現金流入(出)</t>
    <phoneticPr fontId="1" type="noConversion"/>
  </si>
  <si>
    <t>投資活動淨現金流入(出)</t>
    <phoneticPr fontId="1" type="noConversion"/>
  </si>
  <si>
    <t>減少流動金融資產及投資收現數</t>
    <phoneticPr fontId="1" type="noConversion"/>
  </si>
  <si>
    <t>收回存出保證金收現數</t>
    <phoneticPr fontId="1" type="noConversion"/>
  </si>
  <si>
    <t>減少或處分其他投資活動收現數</t>
    <phoneticPr fontId="1" type="noConversion"/>
  </si>
  <si>
    <t>減:增加不動產、房屋及設備付現數</t>
    <phoneticPr fontId="1" type="noConversion"/>
  </si>
  <si>
    <t>增加代收款項收現數</t>
    <phoneticPr fontId="1" type="noConversion"/>
  </si>
  <si>
    <t>收取存入保證金收現數</t>
    <phoneticPr fontId="1" type="noConversion"/>
  </si>
  <si>
    <t>減：減少代收款項付現數</t>
    <phoneticPr fontId="1" type="noConversion"/>
  </si>
  <si>
    <t xml:space="preserve">    退回存入保證金付現數</t>
    <phoneticPr fontId="1" type="noConversion"/>
  </si>
  <si>
    <t>籌資活動淨現金流入(出)</t>
    <phoneticPr fontId="1" type="noConversion"/>
  </si>
  <si>
    <t>出售資產現金收入</t>
    <phoneticPr fontId="3" type="noConversion"/>
  </si>
  <si>
    <t>合計</t>
    <phoneticPr fontId="1" type="noConversion"/>
  </si>
  <si>
    <t>其他收入</t>
    <phoneticPr fontId="1" type="noConversion"/>
  </si>
  <si>
    <t>投資收益</t>
    <phoneticPr fontId="1" type="noConversion"/>
  </si>
  <si>
    <t>利息收入</t>
    <phoneticPr fontId="1" type="noConversion"/>
  </si>
  <si>
    <t>補助收入</t>
    <phoneticPr fontId="1" type="noConversion"/>
  </si>
  <si>
    <t>社大學分費收入</t>
    <phoneticPr fontId="1" type="noConversion"/>
  </si>
  <si>
    <t>其他教學活動收入</t>
    <phoneticPr fontId="1" type="noConversion"/>
  </si>
  <si>
    <t>學費收入</t>
    <phoneticPr fontId="3" type="noConversion"/>
  </si>
  <si>
    <t>雜費收入</t>
    <phoneticPr fontId="3" type="noConversion"/>
  </si>
  <si>
    <t>實習費收入</t>
    <phoneticPr fontId="1" type="noConversion"/>
  </si>
  <si>
    <t>折舊及攤銷</t>
    <phoneticPr fontId="3" type="noConversion"/>
  </si>
  <si>
    <t>折舊及攤銷</t>
    <phoneticPr fontId="1" type="noConversion"/>
  </si>
  <si>
    <t>雜項支出</t>
    <phoneticPr fontId="3" type="noConversion"/>
  </si>
  <si>
    <t>減:增加流動金融資產及投資付現數</t>
    <phoneticPr fontId="1" type="noConversion"/>
  </si>
  <si>
    <t>預算編列訟訴費200,000元，實際未動用</t>
    <phoneticPr fontId="1" type="noConversion"/>
  </si>
  <si>
    <t>捐贈收入</t>
    <phoneticPr fontId="1" type="noConversion"/>
  </si>
  <si>
    <t>平衡表</t>
    <phoneticPr fontId="1" type="noConversion"/>
  </si>
  <si>
    <t>收支餘絀計算表</t>
    <phoneticPr fontId="1" type="noConversion"/>
  </si>
  <si>
    <t xml:space="preserve">固定資產及無形資產變動表   </t>
    <phoneticPr fontId="1" type="noConversion"/>
  </si>
  <si>
    <t>收入明細表</t>
    <phoneticPr fontId="3" type="noConversion"/>
  </si>
  <si>
    <t>臺北市開南高級中等學校</t>
    <phoneticPr fontId="3" type="noConversion"/>
  </si>
  <si>
    <t>支出明細表</t>
    <phoneticPr fontId="3" type="noConversion"/>
  </si>
  <si>
    <t>現金收支概況表</t>
    <phoneticPr fontId="3" type="noConversion"/>
  </si>
  <si>
    <t>現金流量表</t>
    <phoneticPr fontId="1" type="noConversion"/>
  </si>
  <si>
    <t>項目</t>
    <phoneticPr fontId="1" type="noConversion"/>
  </si>
  <si>
    <t>臺北市開南高級中等學校</t>
    <phoneticPr fontId="1" type="noConversion"/>
  </si>
  <si>
    <t>出售股票投資收益及現金股利</t>
    <phoneticPr fontId="1" type="noConversion"/>
  </si>
  <si>
    <t>110年7月31日</t>
    <phoneticPr fontId="1" type="noConversion"/>
  </si>
  <si>
    <t>109學年度</t>
    <phoneticPr fontId="1" type="noConversion"/>
  </si>
  <si>
    <t xml:space="preserve">109學年度  </t>
    <phoneticPr fontId="1" type="noConversion"/>
  </si>
  <si>
    <t>109學年度</t>
    <phoneticPr fontId="3" type="noConversion"/>
  </si>
  <si>
    <t xml:space="preserve"> 人事室</t>
    <phoneticPr fontId="1" type="noConversion"/>
  </si>
  <si>
    <t xml:space="preserve"> 會計室</t>
    <phoneticPr fontId="1" type="noConversion"/>
  </si>
  <si>
    <t xml:space="preserve"> 總務處</t>
    <phoneticPr fontId="1" type="noConversion"/>
  </si>
  <si>
    <t xml:space="preserve"> 實習處</t>
    <phoneticPr fontId="1" type="noConversion"/>
  </si>
  <si>
    <t xml:space="preserve"> 董事會</t>
    <phoneticPr fontId="1" type="noConversion"/>
  </si>
  <si>
    <t xml:space="preserve"> 校長室</t>
    <phoneticPr fontId="1" type="noConversion"/>
  </si>
  <si>
    <t xml:space="preserve"> 工友室</t>
    <phoneticPr fontId="1" type="noConversion"/>
  </si>
  <si>
    <t xml:space="preserve"> 活動中心</t>
    <phoneticPr fontId="1" type="noConversion"/>
  </si>
  <si>
    <t xml:space="preserve"> 合作社</t>
    <phoneticPr fontId="1" type="noConversion"/>
  </si>
  <si>
    <t xml:space="preserve"> 警衛室</t>
    <phoneticPr fontId="1" type="noConversion"/>
  </si>
  <si>
    <t xml:space="preserve"> 校友服務中心</t>
    <phoneticPr fontId="1" type="noConversion"/>
  </si>
  <si>
    <t>教務處</t>
    <phoneticPr fontId="1" type="noConversion"/>
  </si>
  <si>
    <t>警衛室</t>
    <phoneticPr fontId="1" type="noConversion"/>
  </si>
  <si>
    <t>幸町40咖啡廳</t>
    <phoneticPr fontId="1" type="noConversion"/>
  </si>
  <si>
    <t xml:space="preserve"> 幸町40咖啡廳</t>
    <phoneticPr fontId="1" type="noConversion"/>
  </si>
  <si>
    <t xml:space="preserve"> 教務處</t>
    <phoneticPr fontId="1" type="noConversion"/>
  </si>
  <si>
    <t>　非流動金融資產</t>
    <phoneticPr fontId="1" type="noConversion"/>
  </si>
  <si>
    <t>樂隊</t>
    <phoneticPr fontId="1" type="noConversion"/>
  </si>
  <si>
    <t xml:space="preserve"> 土地(閒置資產)</t>
    <phoneticPr fontId="1" type="noConversion"/>
  </si>
  <si>
    <t>　購建中營運資產</t>
    <phoneticPr fontId="1" type="noConversion"/>
  </si>
  <si>
    <t>無形資產</t>
    <phoneticPr fontId="1" type="noConversion"/>
  </si>
  <si>
    <t>減:無形資產付現數</t>
    <phoneticPr fontId="1" type="noConversion"/>
  </si>
  <si>
    <t>無形資產</t>
    <phoneticPr fontId="1" type="noConversion"/>
  </si>
  <si>
    <t>因疫情影響，學員退費人次增加。</t>
    <phoneticPr fontId="1" type="noConversion"/>
  </si>
  <si>
    <t>1.學生人數減少，學生人次較預算少。
2.暑輔因疫情影響未開課。</t>
    <phoneticPr fontId="1" type="noConversion"/>
  </si>
  <si>
    <t>顏董事長捐贈本校校務發展經費$1,000,000
劉宗信董事捐贈機器手臂$600,000
林清富先生捐贈獎助學金$200,000
陳忠源先生捐贈提升教學設備$200,000
公教社區公寓管理委員會捐本校學生獎助學金$150,000
顏文熙董事、李欽宗校友及協明化工捐款本校校務發展經費各$100,000</t>
    <phoneticPr fontId="1" type="noConversion"/>
  </si>
  <si>
    <t>1.原三角埔租金收入$90,000自110年1月起每月租金收入$290,000(109/8~110/7扣繳營業稅$118,100)
2.社大收取報名費200元自110年1月起未作減免。</t>
    <phoneticPr fontId="1" type="noConversion"/>
  </si>
  <si>
    <r>
      <rPr>
        <u/>
        <sz val="8"/>
        <color theme="1"/>
        <rFont val="標楷體"/>
        <family val="4"/>
        <charset val="136"/>
      </rPr>
      <t>出售股票投資收益合計$41,387,190</t>
    </r>
    <r>
      <rPr>
        <sz val="8"/>
        <color theme="1"/>
        <rFont val="標楷體"/>
        <family val="4"/>
        <charset val="136"/>
      </rPr>
      <t xml:space="preserve">
1.國賓飯店$5,153,800
2.中國鋼鐵$586,084
3.中鼎$164,042
5.富邦金 $809,848
6.日勝生$222,009
7.復盛應用$4,217,279
8.台塑$207,546
9.凌陽$799,155
10.廣達$795,508
11.和碩$3,882,244
12.遠東新$3,197,647
13.台泥$10,785,116
14.國泰金$7,350,274
15.亞泥$1,398,626
16.聯強$1,818,012
</t>
    </r>
    <r>
      <rPr>
        <u/>
        <sz val="8"/>
        <color theme="1"/>
        <rFont val="標楷體"/>
        <family val="4"/>
        <charset val="136"/>
      </rPr>
      <t>現金股利$16,772,908</t>
    </r>
    <r>
      <rPr>
        <sz val="8"/>
        <color theme="1"/>
        <rFont val="標楷體"/>
        <family val="4"/>
        <charset val="136"/>
      </rPr>
      <t xml:space="preserve">
1.上海商銀$1,271,000
2.日勝生$192,667
3.凌陽$60,900
4.福懋$1,175,000
5.亞泥$1,920,000
6.遠東新$816,000
7.中鼎$1,007,983
8.復盛$1,360,000
9.廣達$1,110,000
10.中鋼管$151,458
11.兆豐金$1,581,000
12.長虹$1,593,910
13.凌巨$6,000
14.台泥$750,244
15.群光$1,485,000
16.光寶$1,393,990
17.和碩$897,756</t>
    </r>
    <phoneticPr fontId="1" type="noConversion"/>
  </si>
  <si>
    <t>預算以董事、監察人全數出席人數編列，開會時會有少數董事或監察人請假未出席會議。</t>
    <phoneticPr fontId="1" type="noConversion"/>
  </si>
  <si>
    <t>決算數比預算數減少原因：
1.駐校保全費用原社大分攤三個月，109學年度調整分攤邏輯，學校及社大各半，故費用減少＄480,000。
2.機電讀生費用，因疫情5月份停課，故費用減少$63,000元。
3.因疫情影響，校慶相關費用支出減少，故決算較預算減少$102,442元。
4.幸叮四十110年2月暫停營業，自110年5月改由委外經營，因疫情5月25日起停課，故未支付相關產品製作費用，決算較預算減少$106,266元。</t>
    <phoneticPr fontId="1" type="noConversion"/>
  </si>
  <si>
    <t>1.預算編列冷氣維護及清洗費$500,000，實際動用$303,000，未動用$197,000
2.預算編列建築物修繕費用$750,000，實際動用$436,000，未動用$314,000
3.預算編列課桌椅維修及油漆費$50,000，實際動用$6,500元，未動用$43,500元
4.預算編列電梯維修費$30,000元未動用
5.預算編列修繕材料費$180,000元，實際動用$159,000元，未動用$21,000元</t>
    <phoneticPr fontId="1" type="noConversion"/>
  </si>
  <si>
    <t>行政單位雜項設備有提列預算但未執行報廢$1,289,750</t>
    <phoneticPr fontId="1" type="noConversion"/>
  </si>
  <si>
    <t>決算數較預算數減少原因：
1.因疫情影響，自110年5月25日起停課，啦啦隊、儀隊、樂隊、籃球隊停止訓練，110年6月~7月未支付教練費及管理費，故決算數較預算數減少
2.因疫情影響未辦理成長營、畢業旅行、聯課活動鐘點費、學生活動費、各項才藝競賽與研習活動及儀隊及樂隊等社團活動，另畢業典禮改以線上方式舉辦。</t>
    <phoneticPr fontId="1" type="noConversion"/>
  </si>
  <si>
    <t>體育組設備修繕預算編列$40,000，實際動用$28,288</t>
    <phoneticPr fontId="1" type="noConversion"/>
  </si>
  <si>
    <t>依退休撫卹基金會之規定(學校負擔)。</t>
    <phoneticPr fontId="1" type="noConversion"/>
  </si>
  <si>
    <t>因配合「補助工具機產業人才培育計畫工具機設備」擬將現有機電科設備進行報廢，報廢財產金額$4,139,399元。</t>
    <phoneticPr fontId="1" type="noConversion"/>
  </si>
  <si>
    <t>1.支付新生入學獎助學金$920,000元，
2.支付推薦新生入學獎勵金$100,500元</t>
    <phoneticPr fontId="1" type="noConversion"/>
  </si>
  <si>
    <t>因疫情影響，部份課程停開或是無法改由線上，故相關教學支出與鐘點費較預算減少。</t>
    <phoneticPr fontId="1" type="noConversion"/>
  </si>
  <si>
    <t>因109學年度費用分攤邏輯調整，決算數比預算數增加：
1.冷氣清洗維護比預算增加$94,175元
2.電梯設備維修比預算增加$53,800元
3.設備及房屋建築修繕較預算增加$48,778元</t>
    <phoneticPr fontId="1" type="noConversion"/>
  </si>
  <si>
    <t>依退休撫卹基金會之規定(學校負擔)。</t>
    <phoneticPr fontId="3" type="noConversion"/>
  </si>
  <si>
    <t>折舊及攤銷比預算算減少$203,570元</t>
    <phoneticPr fontId="3" type="noConversion"/>
  </si>
  <si>
    <t>因疫情影響未辦理暑假輔導$1,326,840</t>
    <phoneticPr fontId="1" type="noConversion"/>
  </si>
  <si>
    <t>因疫情影響，國產署租金給予優惠。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</si>
</sst>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_-;\-* #,##0_-;_-* &quot;-&quot;??_-;_-@_-"/>
    <numFmt numFmtId="177" formatCode="0.00_);[Red]\(0.00\)"/>
    <numFmt numFmtId="178" formatCode="#,##0_ "/>
    <numFmt numFmtId="179" formatCode="#,##0.00_ "/>
    <numFmt numFmtId="180" formatCode="0.00_);\(0.00\)"/>
    <numFmt numFmtId="181" formatCode="#,##0_);[Red]\(#,##0\)"/>
    <numFmt numFmtId="182" formatCode="#,##0.00_);[Red]\(#,##0.00\)"/>
    <numFmt numFmtId="183" formatCode="_-* #,##0.00_-;\-* #,##0.00_-;_-* &quot;-&quot;_-;_-@_-"/>
  </numFmts>
  <fonts count="2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0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1"/>
      <name val="標楷體"/>
      <family val="4"/>
      <charset val="136"/>
    </font>
    <font>
      <sz val="11"/>
      <name val="標楷體"/>
      <family val="4"/>
      <charset val="136"/>
    </font>
    <font>
      <sz val="12"/>
      <color indexed="8"/>
      <name val="標楷體"/>
      <family val="4"/>
      <charset val="136"/>
    </font>
    <font>
      <u/>
      <sz val="12"/>
      <color theme="1"/>
      <name val="標楷體"/>
      <family val="4"/>
      <charset val="136"/>
    </font>
    <font>
      <sz val="11"/>
      <color indexed="8"/>
      <name val="標楷體"/>
      <family val="4"/>
      <charset val="136"/>
    </font>
    <font>
      <sz val="8"/>
      <color theme="1"/>
      <name val="標楷體"/>
      <family val="4"/>
      <charset val="136"/>
    </font>
    <font>
      <u/>
      <sz val="8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</cellStyleXfs>
  <cellXfs count="257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3" fontId="7" fillId="0" borderId="0" xfId="0" applyNumberFormat="1" applyFont="1">
      <alignment vertical="center"/>
    </xf>
    <xf numFmtId="181" fontId="7" fillId="0" borderId="1" xfId="0" applyNumberFormat="1" applyFont="1" applyBorder="1">
      <alignment vertical="center"/>
    </xf>
    <xf numFmtId="181" fontId="7" fillId="0" borderId="1" xfId="0" applyNumberFormat="1" applyFont="1" applyBorder="1" applyAlignment="1">
      <alignment horizontal="center" vertical="center" wrapText="1"/>
    </xf>
    <xf numFmtId="181" fontId="7" fillId="0" borderId="1" xfId="1" applyNumberFormat="1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 applyAlignment="1">
      <alignment vertical="center" wrapText="1"/>
    </xf>
    <xf numFmtId="177" fontId="7" fillId="0" borderId="17" xfId="0" applyNumberFormat="1" applyFont="1" applyBorder="1">
      <alignment vertical="center"/>
    </xf>
    <xf numFmtId="0" fontId="7" fillId="0" borderId="16" xfId="0" applyFont="1" applyBorder="1" applyAlignment="1">
      <alignment horizontal="left" vertical="top"/>
    </xf>
    <xf numFmtId="0" fontId="7" fillId="0" borderId="18" xfId="0" applyFont="1" applyBorder="1">
      <alignment vertical="center"/>
    </xf>
    <xf numFmtId="181" fontId="7" fillId="0" borderId="19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81" fontId="7" fillId="0" borderId="5" xfId="1" applyNumberFormat="1" applyFont="1" applyFill="1" applyBorder="1">
      <alignment vertical="center"/>
    </xf>
    <xf numFmtId="0" fontId="14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76" fontId="10" fillId="0" borderId="19" xfId="1" applyNumberFormat="1" applyFont="1" applyBorder="1">
      <alignment vertical="center"/>
    </xf>
    <xf numFmtId="176" fontId="10" fillId="0" borderId="20" xfId="1" applyNumberFormat="1" applyFont="1" applyBorder="1">
      <alignment vertical="center"/>
    </xf>
    <xf numFmtId="0" fontId="14" fillId="0" borderId="16" xfId="0" applyFont="1" applyBorder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24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178" fontId="11" fillId="0" borderId="1" xfId="1" applyNumberFormat="1" applyFont="1" applyBorder="1" applyAlignment="1">
      <alignment horizontal="center" vertical="center"/>
    </xf>
    <xf numFmtId="179" fontId="11" fillId="0" borderId="1" xfId="2" applyNumberFormat="1" applyFont="1" applyBorder="1" applyAlignment="1">
      <alignment horizontal="center" vertical="center"/>
    </xf>
    <xf numFmtId="181" fontId="11" fillId="0" borderId="1" xfId="1" applyNumberFormat="1" applyFont="1" applyBorder="1" applyAlignment="1">
      <alignment vertical="center"/>
    </xf>
    <xf numFmtId="181" fontId="11" fillId="0" borderId="1" xfId="2" applyNumberFormat="1" applyFont="1" applyBorder="1">
      <alignment vertical="center"/>
    </xf>
    <xf numFmtId="181" fontId="11" fillId="0" borderId="8" xfId="0" applyNumberFormat="1" applyFont="1" applyBorder="1" applyAlignment="1">
      <alignment horizontal="right" vertical="center"/>
    </xf>
    <xf numFmtId="182" fontId="11" fillId="0" borderId="1" xfId="2" applyNumberFormat="1" applyFont="1" applyBorder="1" applyAlignment="1">
      <alignment horizontal="right" vertical="center"/>
    </xf>
    <xf numFmtId="181" fontId="11" fillId="0" borderId="1" xfId="1" applyNumberFormat="1" applyFont="1" applyBorder="1" applyAlignment="1">
      <alignment horizontal="right" vertical="center"/>
    </xf>
    <xf numFmtId="181" fontId="11" fillId="0" borderId="1" xfId="0" applyNumberFormat="1" applyFont="1" applyBorder="1" applyAlignment="1">
      <alignment horizontal="right" vertical="center"/>
    </xf>
    <xf numFmtId="182" fontId="11" fillId="0" borderId="1" xfId="1" applyNumberFormat="1" applyFont="1" applyBorder="1" applyAlignment="1">
      <alignment horizontal="right" vertical="center"/>
    </xf>
    <xf numFmtId="0" fontId="18" fillId="0" borderId="0" xfId="0" applyFont="1">
      <alignment vertical="center"/>
    </xf>
    <xf numFmtId="0" fontId="7" fillId="0" borderId="24" xfId="0" applyFont="1" applyBorder="1">
      <alignment vertical="center"/>
    </xf>
    <xf numFmtId="0" fontId="7" fillId="0" borderId="30" xfId="0" applyFont="1" applyBorder="1" applyAlignment="1">
      <alignment horizontal="center" vertical="center"/>
    </xf>
    <xf numFmtId="4" fontId="16" fillId="0" borderId="17" xfId="1" applyNumberFormat="1" applyFont="1" applyBorder="1" applyAlignment="1">
      <alignment vertical="center"/>
    </xf>
    <xf numFmtId="181" fontId="7" fillId="0" borderId="0" xfId="0" applyNumberFormat="1" applyFont="1" applyBorder="1" applyAlignment="1">
      <alignment horizontal="right" vertical="center"/>
    </xf>
    <xf numFmtId="181" fontId="11" fillId="0" borderId="19" xfId="1" applyNumberFormat="1" applyFont="1" applyBorder="1" applyAlignment="1">
      <alignment horizontal="right" vertical="center"/>
    </xf>
    <xf numFmtId="181" fontId="11" fillId="0" borderId="19" xfId="2" applyNumberFormat="1" applyFont="1" applyBorder="1" applyAlignment="1">
      <alignment horizontal="right" vertical="center"/>
    </xf>
    <xf numFmtId="182" fontId="11" fillId="0" borderId="19" xfId="2" applyNumberFormat="1" applyFont="1" applyBorder="1" applyAlignment="1">
      <alignment horizontal="right" vertical="center"/>
    </xf>
    <xf numFmtId="0" fontId="13" fillId="0" borderId="17" xfId="0" applyFont="1" applyBorder="1" applyAlignment="1">
      <alignment horizontal="center" vertical="center" wrapText="1"/>
    </xf>
    <xf numFmtId="0" fontId="7" fillId="0" borderId="19" xfId="0" applyFont="1" applyBorder="1">
      <alignment vertical="center"/>
    </xf>
    <xf numFmtId="0" fontId="16" fillId="0" borderId="16" xfId="5" applyFont="1" applyBorder="1">
      <alignment vertical="center"/>
    </xf>
    <xf numFmtId="0" fontId="16" fillId="0" borderId="1" xfId="5" applyFont="1" applyBorder="1">
      <alignment vertical="center"/>
    </xf>
    <xf numFmtId="0" fontId="16" fillId="0" borderId="7" xfId="5" applyFont="1" applyBorder="1" applyAlignment="1">
      <alignment vertical="center"/>
    </xf>
    <xf numFmtId="0" fontId="16" fillId="0" borderId="7" xfId="5" applyFont="1" applyBorder="1">
      <alignment vertical="center"/>
    </xf>
    <xf numFmtId="0" fontId="16" fillId="0" borderId="7" xfId="5" applyFont="1" applyBorder="1" applyAlignment="1">
      <alignment horizontal="left" vertical="center"/>
    </xf>
    <xf numFmtId="181" fontId="11" fillId="0" borderId="1" xfId="5" applyNumberFormat="1" applyFont="1" applyBorder="1">
      <alignment vertical="center"/>
    </xf>
    <xf numFmtId="181" fontId="7" fillId="0" borderId="1" xfId="0" applyNumberFormat="1" applyFont="1" applyBorder="1" applyAlignment="1">
      <alignment horizontal="right" vertical="center"/>
    </xf>
    <xf numFmtId="181" fontId="11" fillId="0" borderId="19" xfId="1" applyNumberFormat="1" applyFont="1" applyBorder="1" applyAlignment="1">
      <alignment vertical="center"/>
    </xf>
    <xf numFmtId="182" fontId="11" fillId="0" borderId="1" xfId="5" applyNumberFormat="1" applyFont="1" applyBorder="1" applyAlignment="1">
      <alignment horizontal="right" vertical="center"/>
    </xf>
    <xf numFmtId="182" fontId="11" fillId="0" borderId="19" xfId="1" applyNumberFormat="1" applyFont="1" applyBorder="1" applyAlignment="1">
      <alignment horizontal="right" vertical="center"/>
    </xf>
    <xf numFmtId="0" fontId="18" fillId="0" borderId="24" xfId="0" applyFont="1" applyBorder="1">
      <alignment vertical="center"/>
    </xf>
    <xf numFmtId="44" fontId="7" fillId="0" borderId="0" xfId="0" applyNumberFormat="1" applyFont="1">
      <alignment vertical="center"/>
    </xf>
    <xf numFmtId="0" fontId="14" fillId="0" borderId="24" xfId="0" quotePrefix="1" applyFont="1" applyBorder="1">
      <alignment vertical="center"/>
    </xf>
    <xf numFmtId="0" fontId="14" fillId="0" borderId="11" xfId="0" quotePrefix="1" applyFont="1" applyBorder="1">
      <alignment vertical="center"/>
    </xf>
    <xf numFmtId="0" fontId="14" fillId="0" borderId="35" xfId="0" quotePrefix="1" applyFont="1" applyBorder="1">
      <alignment vertical="center"/>
    </xf>
    <xf numFmtId="0" fontId="14" fillId="0" borderId="35" xfId="0" quotePrefix="1" applyFont="1" applyBorder="1" applyAlignment="1">
      <alignment horizontal="left" vertical="center"/>
    </xf>
    <xf numFmtId="0" fontId="14" fillId="0" borderId="37" xfId="0" quotePrefix="1" applyFont="1" applyBorder="1">
      <alignment vertical="center"/>
    </xf>
    <xf numFmtId="0" fontId="14" fillId="0" borderId="38" xfId="0" quotePrefix="1" applyFont="1" applyBorder="1">
      <alignment vertical="center"/>
    </xf>
    <xf numFmtId="0" fontId="11" fillId="0" borderId="3" xfId="0" applyFont="1" applyBorder="1" applyAlignment="1">
      <alignment horizontal="center" vertical="center" wrapText="1"/>
    </xf>
    <xf numFmtId="181" fontId="7" fillId="0" borderId="11" xfId="0" applyNumberFormat="1" applyFont="1" applyBorder="1">
      <alignment vertical="center"/>
    </xf>
    <xf numFmtId="181" fontId="7" fillId="0" borderId="38" xfId="0" applyNumberFormat="1" applyFont="1" applyBorder="1">
      <alignment vertical="center"/>
    </xf>
    <xf numFmtId="182" fontId="7" fillId="0" borderId="36" xfId="0" applyNumberFormat="1" applyFont="1" applyBorder="1">
      <alignment vertical="center"/>
    </xf>
    <xf numFmtId="182" fontId="7" fillId="0" borderId="40" xfId="0" applyNumberFormat="1" applyFont="1" applyBorder="1">
      <alignment vertical="center"/>
    </xf>
    <xf numFmtId="181" fontId="7" fillId="0" borderId="5" xfId="1" applyNumberFormat="1" applyFont="1" applyBorder="1">
      <alignment vertical="center"/>
    </xf>
    <xf numFmtId="181" fontId="7" fillId="0" borderId="8" xfId="1" applyNumberFormat="1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181" fontId="7" fillId="0" borderId="36" xfId="1" applyNumberFormat="1" applyFont="1" applyBorder="1">
      <alignment vertical="center"/>
    </xf>
    <xf numFmtId="0" fontId="7" fillId="0" borderId="44" xfId="0" applyFont="1" applyBorder="1">
      <alignment vertical="center"/>
    </xf>
    <xf numFmtId="181" fontId="7" fillId="0" borderId="39" xfId="1" applyNumberFormat="1" applyFont="1" applyBorder="1">
      <alignment vertical="center"/>
    </xf>
    <xf numFmtId="181" fontId="7" fillId="0" borderId="40" xfId="1" applyNumberFormat="1" applyFont="1" applyBorder="1">
      <alignment vertical="center"/>
    </xf>
    <xf numFmtId="0" fontId="18" fillId="0" borderId="15" xfId="0" applyFont="1" applyBorder="1">
      <alignment vertical="center"/>
    </xf>
    <xf numFmtId="0" fontId="18" fillId="0" borderId="35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45" xfId="0" applyFont="1" applyBorder="1">
      <alignment vertical="center"/>
    </xf>
    <xf numFmtId="0" fontId="18" fillId="0" borderId="32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181" fontId="7" fillId="0" borderId="5" xfId="0" applyNumberFormat="1" applyFont="1" applyBorder="1" applyAlignment="1">
      <alignment vertical="center"/>
    </xf>
    <xf numFmtId="181" fontId="7" fillId="0" borderId="43" xfId="1" applyNumberFormat="1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181" fontId="7" fillId="0" borderId="5" xfId="1" applyNumberFormat="1" applyFont="1" applyBorder="1" applyAlignment="1">
      <alignment vertical="center"/>
    </xf>
    <xf numFmtId="181" fontId="7" fillId="0" borderId="36" xfId="1" applyNumberFormat="1" applyFont="1" applyBorder="1" applyAlignment="1">
      <alignment vertical="center"/>
    </xf>
    <xf numFmtId="180" fontId="7" fillId="0" borderId="0" xfId="0" applyNumberFormat="1" applyFont="1" applyAlignment="1">
      <alignment vertical="center"/>
    </xf>
    <xf numFmtId="0" fontId="7" fillId="0" borderId="24" xfId="0" applyFont="1" applyBorder="1" applyAlignment="1">
      <alignment vertical="center"/>
    </xf>
    <xf numFmtId="181" fontId="7" fillId="0" borderId="8" xfId="1" applyNumberFormat="1" applyFont="1" applyBorder="1" applyAlignment="1">
      <alignment vertical="center"/>
    </xf>
    <xf numFmtId="181" fontId="7" fillId="0" borderId="10" xfId="1" applyNumberFormat="1" applyFont="1" applyBorder="1" applyAlignment="1">
      <alignment vertical="center"/>
    </xf>
    <xf numFmtId="181" fontId="7" fillId="0" borderId="10" xfId="1" applyNumberFormat="1" applyFont="1" applyBorder="1">
      <alignment vertical="center"/>
    </xf>
    <xf numFmtId="41" fontId="7" fillId="0" borderId="11" xfId="0" applyNumberFormat="1" applyFont="1" applyBorder="1">
      <alignment vertical="center"/>
    </xf>
    <xf numFmtId="41" fontId="7" fillId="0" borderId="36" xfId="0" applyNumberFormat="1" applyFont="1" applyBorder="1">
      <alignment vertical="center"/>
    </xf>
    <xf numFmtId="181" fontId="7" fillId="0" borderId="31" xfId="0" applyNumberFormat="1" applyFont="1" applyBorder="1">
      <alignment vertical="center"/>
    </xf>
    <xf numFmtId="182" fontId="7" fillId="0" borderId="10" xfId="0" applyNumberFormat="1" applyFont="1" applyBorder="1">
      <alignment vertical="center"/>
    </xf>
    <xf numFmtId="41" fontId="7" fillId="0" borderId="12" xfId="0" applyNumberFormat="1" applyFont="1" applyBorder="1">
      <alignment vertical="center"/>
    </xf>
    <xf numFmtId="0" fontId="11" fillId="0" borderId="29" xfId="0" applyFont="1" applyBorder="1" applyAlignment="1">
      <alignment horizontal="center" vertical="center" wrapText="1"/>
    </xf>
    <xf numFmtId="182" fontId="7" fillId="0" borderId="11" xfId="0" applyNumberFormat="1" applyFont="1" applyBorder="1">
      <alignment vertical="center"/>
    </xf>
    <xf numFmtId="182" fontId="7" fillId="0" borderId="38" xfId="0" applyNumberFormat="1" applyFont="1" applyBorder="1">
      <alignment vertical="center"/>
    </xf>
    <xf numFmtId="0" fontId="11" fillId="0" borderId="42" xfId="0" applyFont="1" applyBorder="1" applyAlignment="1">
      <alignment horizontal="center" vertical="center" wrapText="1"/>
    </xf>
    <xf numFmtId="181" fontId="7" fillId="0" borderId="24" xfId="0" applyNumberFormat="1" applyFont="1" applyBorder="1">
      <alignment vertical="center"/>
    </xf>
    <xf numFmtId="41" fontId="7" fillId="0" borderId="24" xfId="0" applyNumberFormat="1" applyFont="1" applyBorder="1">
      <alignment vertical="center"/>
    </xf>
    <xf numFmtId="41" fontId="7" fillId="0" borderId="28" xfId="0" applyNumberFormat="1" applyFont="1" applyBorder="1">
      <alignment vertical="center"/>
    </xf>
    <xf numFmtId="181" fontId="7" fillId="0" borderId="37" xfId="0" applyNumberFormat="1" applyFont="1" applyBorder="1">
      <alignment vertical="center"/>
    </xf>
    <xf numFmtId="182" fontId="7" fillId="0" borderId="17" xfId="0" applyNumberFormat="1" applyFont="1" applyBorder="1">
      <alignment vertical="center"/>
    </xf>
    <xf numFmtId="0" fontId="16" fillId="0" borderId="7" xfId="2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181" fontId="11" fillId="0" borderId="1" xfId="5" applyNumberFormat="1" applyFont="1" applyBorder="1" applyAlignment="1">
      <alignment vertical="center"/>
    </xf>
    <xf numFmtId="181" fontId="7" fillId="0" borderId="1" xfId="0" applyNumberFormat="1" applyFont="1" applyBorder="1" applyAlignment="1">
      <alignment vertical="center"/>
    </xf>
    <xf numFmtId="182" fontId="11" fillId="0" borderId="1" xfId="0" applyNumberFormat="1" applyFont="1" applyBorder="1" applyAlignment="1">
      <alignment horizontal="right" vertical="center"/>
    </xf>
    <xf numFmtId="4" fontId="16" fillId="0" borderId="17" xfId="3" applyNumberFormat="1" applyFont="1" applyBorder="1" applyAlignment="1">
      <alignment horizontal="center" vertical="center"/>
    </xf>
    <xf numFmtId="0" fontId="16" fillId="0" borderId="20" xfId="2" applyFont="1" applyBorder="1" applyAlignment="1">
      <alignment vertical="center"/>
    </xf>
    <xf numFmtId="176" fontId="10" fillId="0" borderId="1" xfId="1" applyNumberFormat="1" applyFont="1" applyFill="1" applyBorder="1">
      <alignment vertical="center"/>
    </xf>
    <xf numFmtId="176" fontId="10" fillId="0" borderId="17" xfId="1" applyNumberFormat="1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16" xfId="0" applyFont="1" applyFill="1" applyBorder="1">
      <alignment vertical="center"/>
    </xf>
    <xf numFmtId="0" fontId="14" fillId="0" borderId="23" xfId="0" applyFont="1" applyFill="1" applyBorder="1" applyAlignment="1">
      <alignment vertical="center"/>
    </xf>
    <xf numFmtId="0" fontId="14" fillId="0" borderId="7" xfId="0" applyFont="1" applyFill="1" applyBorder="1">
      <alignment vertical="center"/>
    </xf>
    <xf numFmtId="0" fontId="14" fillId="0" borderId="23" xfId="0" applyFont="1" applyFill="1" applyBorder="1">
      <alignment vertical="center"/>
    </xf>
    <xf numFmtId="181" fontId="7" fillId="0" borderId="11" xfId="0" applyNumberFormat="1" applyFont="1" applyFill="1" applyBorder="1">
      <alignment vertical="center"/>
    </xf>
    <xf numFmtId="41" fontId="7" fillId="0" borderId="11" xfId="0" applyNumberFormat="1" applyFont="1" applyFill="1" applyBorder="1">
      <alignment vertical="center"/>
    </xf>
    <xf numFmtId="181" fontId="7" fillId="0" borderId="12" xfId="0" applyNumberFormat="1" applyFont="1" applyFill="1" applyBorder="1">
      <alignment vertical="center"/>
    </xf>
    <xf numFmtId="181" fontId="7" fillId="0" borderId="6" xfId="0" applyNumberFormat="1" applyFont="1" applyFill="1" applyBorder="1">
      <alignment vertical="center"/>
    </xf>
    <xf numFmtId="41" fontId="7" fillId="0" borderId="23" xfId="0" applyNumberFormat="1" applyFont="1" applyBorder="1">
      <alignment vertical="center"/>
    </xf>
    <xf numFmtId="181" fontId="11" fillId="0" borderId="1" xfId="5" applyNumberFormat="1" applyFont="1" applyBorder="1" applyAlignment="1">
      <alignment horizontal="right" vertical="center"/>
    </xf>
    <xf numFmtId="176" fontId="7" fillId="0" borderId="0" xfId="0" applyNumberFormat="1" applyFont="1">
      <alignment vertical="center"/>
    </xf>
    <xf numFmtId="176" fontId="7" fillId="0" borderId="0" xfId="1" applyNumberFormat="1" applyFont="1" applyAlignment="1">
      <alignment horizontal="center" vertical="center"/>
    </xf>
    <xf numFmtId="176" fontId="7" fillId="0" borderId="0" xfId="1" applyNumberFormat="1" applyFont="1">
      <alignment vertical="center"/>
    </xf>
    <xf numFmtId="181" fontId="7" fillId="0" borderId="1" xfId="1" applyNumberFormat="1" applyFont="1" applyFill="1" applyBorder="1">
      <alignment vertical="center"/>
    </xf>
    <xf numFmtId="0" fontId="7" fillId="0" borderId="28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4" fontId="16" fillId="0" borderId="17" xfId="1" applyNumberFormat="1" applyFont="1" applyFill="1" applyBorder="1" applyAlignment="1">
      <alignment vertical="center" wrapText="1"/>
    </xf>
    <xf numFmtId="181" fontId="7" fillId="0" borderId="0" xfId="0" applyNumberFormat="1" applyFont="1">
      <alignment vertical="center"/>
    </xf>
    <xf numFmtId="0" fontId="16" fillId="0" borderId="23" xfId="5" applyFont="1" applyBorder="1">
      <alignment vertical="center"/>
    </xf>
    <xf numFmtId="0" fontId="7" fillId="0" borderId="23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28" xfId="0" applyFont="1" applyBorder="1" applyAlignment="1">
      <alignment horizontal="center" vertical="center"/>
    </xf>
    <xf numFmtId="0" fontId="14" fillId="0" borderId="28" xfId="0" applyFont="1" applyBorder="1">
      <alignment vertical="center"/>
    </xf>
    <xf numFmtId="0" fontId="14" fillId="0" borderId="23" xfId="0" applyFont="1" applyBorder="1">
      <alignment vertical="center"/>
    </xf>
    <xf numFmtId="181" fontId="7" fillId="0" borderId="23" xfId="0" applyNumberFormat="1" applyFont="1" applyBorder="1">
      <alignment vertical="center"/>
    </xf>
    <xf numFmtId="181" fontId="7" fillId="0" borderId="6" xfId="0" applyNumberFormat="1" applyFont="1" applyBorder="1">
      <alignment vertical="center"/>
    </xf>
    <xf numFmtId="182" fontId="7" fillId="0" borderId="6" xfId="0" applyNumberFormat="1" applyFont="1" applyBorder="1">
      <alignment vertical="center"/>
    </xf>
    <xf numFmtId="183" fontId="7" fillId="0" borderId="12" xfId="0" applyNumberFormat="1" applyFont="1" applyBorder="1">
      <alignment vertical="center"/>
    </xf>
    <xf numFmtId="181" fontId="7" fillId="2" borderId="1" xfId="1" applyNumberFormat="1" applyFont="1" applyFill="1" applyBorder="1">
      <alignment vertical="center"/>
    </xf>
    <xf numFmtId="181" fontId="7" fillId="0" borderId="1" xfId="1" applyNumberFormat="1" applyFont="1" applyBorder="1" applyAlignment="1">
      <alignment horizontal="right" vertical="center"/>
    </xf>
    <xf numFmtId="181" fontId="7" fillId="0" borderId="19" xfId="0" applyNumberFormat="1" applyFont="1" applyBorder="1" applyAlignment="1">
      <alignment horizontal="right" vertical="center"/>
    </xf>
    <xf numFmtId="0" fontId="14" fillId="0" borderId="17" xfId="5" applyFont="1" applyBorder="1">
      <alignment vertical="center"/>
    </xf>
    <xf numFmtId="0" fontId="14" fillId="0" borderId="17" xfId="5" applyFont="1" applyBorder="1" applyAlignment="1">
      <alignment vertical="center" wrapText="1"/>
    </xf>
    <xf numFmtId="0" fontId="14" fillId="0" borderId="20" xfId="5" applyFont="1" applyBorder="1">
      <alignment vertical="center"/>
    </xf>
    <xf numFmtId="4" fontId="16" fillId="0" borderId="17" xfId="1" applyNumberFormat="1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182" fontId="7" fillId="0" borderId="12" xfId="0" applyNumberFormat="1" applyFont="1" applyBorder="1">
      <alignment vertical="center"/>
    </xf>
    <xf numFmtId="181" fontId="7" fillId="0" borderId="23" xfId="0" applyNumberFormat="1" applyFont="1" applyFill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176" fontId="7" fillId="0" borderId="2" xfId="1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4" fontId="19" fillId="0" borderId="1" xfId="1" applyNumberFormat="1" applyFont="1" applyBorder="1" applyAlignment="1">
      <alignment horizontal="center" vertical="center"/>
    </xf>
    <xf numFmtId="181" fontId="7" fillId="0" borderId="15" xfId="0" applyNumberFormat="1" applyFont="1" applyBorder="1">
      <alignment vertical="center"/>
    </xf>
    <xf numFmtId="181" fontId="7" fillId="0" borderId="16" xfId="1" applyNumberFormat="1" applyFont="1" applyBorder="1">
      <alignment vertical="center"/>
    </xf>
    <xf numFmtId="181" fontId="7" fillId="0" borderId="15" xfId="1" applyNumberFormat="1" applyFont="1" applyFill="1" applyBorder="1">
      <alignment vertical="center"/>
    </xf>
    <xf numFmtId="181" fontId="7" fillId="2" borderId="16" xfId="1" applyNumberFormat="1" applyFont="1" applyFill="1" applyBorder="1">
      <alignment vertical="center"/>
    </xf>
    <xf numFmtId="181" fontId="7" fillId="0" borderId="16" xfId="0" applyNumberFormat="1" applyFont="1" applyBorder="1">
      <alignment vertical="center"/>
    </xf>
    <xf numFmtId="181" fontId="7" fillId="0" borderId="16" xfId="1" applyNumberFormat="1" applyFont="1" applyFill="1" applyBorder="1">
      <alignment vertical="center"/>
    </xf>
    <xf numFmtId="181" fontId="7" fillId="0" borderId="18" xfId="0" applyNumberFormat="1" applyFont="1" applyBorder="1">
      <alignment vertical="center"/>
    </xf>
    <xf numFmtId="176" fontId="10" fillId="3" borderId="1" xfId="1" applyNumberFormat="1" applyFont="1" applyFill="1" applyBorder="1">
      <alignment vertical="center"/>
    </xf>
    <xf numFmtId="176" fontId="10" fillId="3" borderId="17" xfId="1" applyNumberFormat="1" applyFont="1" applyFill="1" applyBorder="1">
      <alignment vertical="center"/>
    </xf>
    <xf numFmtId="0" fontId="14" fillId="3" borderId="16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14" fillId="2" borderId="16" xfId="0" applyFont="1" applyFill="1" applyBorder="1">
      <alignment vertical="center"/>
    </xf>
    <xf numFmtId="176" fontId="10" fillId="2" borderId="1" xfId="1" applyNumberFormat="1" applyFont="1" applyFill="1" applyBorder="1">
      <alignment vertical="center"/>
    </xf>
    <xf numFmtId="176" fontId="10" fillId="2" borderId="17" xfId="1" applyNumberFormat="1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4" fillId="3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3" borderId="16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181" fontId="11" fillId="0" borderId="19" xfId="2" applyNumberFormat="1" applyFont="1" applyBorder="1">
      <alignment vertical="center"/>
    </xf>
    <xf numFmtId="0" fontId="16" fillId="0" borderId="17" xfId="0" applyFont="1" applyFill="1" applyBorder="1" applyAlignment="1">
      <alignment vertical="center" wrapText="1"/>
    </xf>
    <xf numFmtId="4" fontId="14" fillId="0" borderId="17" xfId="1" applyNumberFormat="1" applyFont="1" applyFill="1" applyBorder="1" applyAlignment="1">
      <alignment vertical="center" wrapText="1"/>
    </xf>
    <xf numFmtId="0" fontId="16" fillId="0" borderId="17" xfId="2" applyFont="1" applyFill="1" applyBorder="1" applyAlignment="1">
      <alignment vertical="center" wrapText="1"/>
    </xf>
    <xf numFmtId="4" fontId="20" fillId="0" borderId="17" xfId="1" applyNumberFormat="1" applyFont="1" applyFill="1" applyBorder="1" applyAlignment="1">
      <alignment vertical="center" wrapText="1"/>
    </xf>
    <xf numFmtId="0" fontId="14" fillId="0" borderId="17" xfId="5" applyFont="1" applyFill="1" applyBorder="1" applyAlignment="1">
      <alignment vertical="center" wrapText="1"/>
    </xf>
    <xf numFmtId="181" fontId="14" fillId="0" borderId="17" xfId="5" applyNumberFormat="1" applyFont="1" applyFill="1" applyBorder="1">
      <alignment vertical="center"/>
    </xf>
    <xf numFmtId="0" fontId="14" fillId="0" borderId="17" xfId="5" applyFont="1" applyFill="1" applyBorder="1" applyAlignment="1">
      <alignment horizontal="left" vertical="top" wrapText="1"/>
    </xf>
    <xf numFmtId="0" fontId="14" fillId="0" borderId="17" xfId="5" applyFont="1" applyFill="1" applyBorder="1">
      <alignment vertical="center"/>
    </xf>
    <xf numFmtId="0" fontId="14" fillId="0" borderId="17" xfId="5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4" fillId="3" borderId="16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 wrapText="1"/>
    </xf>
    <xf numFmtId="0" fontId="16" fillId="0" borderId="34" xfId="2" applyFont="1" applyBorder="1" applyAlignment="1">
      <alignment horizontal="center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23" xfId="2" applyFont="1" applyBorder="1" applyAlignment="1">
      <alignment horizontal="left" vertical="center" wrapText="1"/>
    </xf>
    <xf numFmtId="0" fontId="16" fillId="0" borderId="7" xfId="2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6" fillId="0" borderId="33" xfId="5" applyFont="1" applyBorder="1" applyAlignment="1">
      <alignment horizontal="center" vertical="center"/>
    </xf>
    <xf numFmtId="0" fontId="16" fillId="0" borderId="34" xfId="5" applyFont="1" applyBorder="1" applyAlignment="1">
      <alignment horizontal="center" vertical="center"/>
    </xf>
    <xf numFmtId="4" fontId="5" fillId="0" borderId="0" xfId="1" applyNumberFormat="1" applyFont="1" applyAlignment="1">
      <alignment horizontal="center" vertical="center"/>
    </xf>
    <xf numFmtId="4" fontId="19" fillId="0" borderId="2" xfId="1" applyNumberFormat="1" applyFont="1" applyBorder="1" applyAlignment="1">
      <alignment horizontal="center" vertical="center"/>
    </xf>
    <xf numFmtId="4" fontId="19" fillId="0" borderId="1" xfId="1" applyNumberFormat="1" applyFont="1" applyBorder="1" applyAlignment="1">
      <alignment horizontal="center" vertical="center"/>
    </xf>
    <xf numFmtId="4" fontId="16" fillId="0" borderId="2" xfId="1" applyNumberFormat="1" applyFont="1" applyBorder="1" applyAlignment="1">
      <alignment horizontal="center" vertical="center"/>
    </xf>
    <xf numFmtId="0" fontId="17" fillId="0" borderId="3" xfId="4" applyFont="1" applyBorder="1" applyAlignment="1">
      <alignment horizontal="center" vertical="center"/>
    </xf>
    <xf numFmtId="0" fontId="17" fillId="0" borderId="17" xfId="4" applyFont="1" applyBorder="1" applyAlignment="1">
      <alignment horizontal="center" vertical="center"/>
    </xf>
    <xf numFmtId="0" fontId="19" fillId="0" borderId="26" xfId="4" applyFont="1" applyBorder="1" applyAlignment="1">
      <alignment horizontal="center" vertical="center"/>
    </xf>
    <xf numFmtId="0" fontId="19" fillId="0" borderId="27" xfId="4" applyFont="1" applyBorder="1" applyAlignment="1">
      <alignment horizontal="center" vertical="center"/>
    </xf>
    <xf numFmtId="0" fontId="19" fillId="0" borderId="28" xfId="4" applyFont="1" applyBorder="1" applyAlignment="1">
      <alignment horizontal="center" vertical="center"/>
    </xf>
    <xf numFmtId="0" fontId="19" fillId="0" borderId="25" xfId="4" applyFont="1" applyBorder="1" applyAlignment="1">
      <alignment horizontal="center" vertical="center"/>
    </xf>
    <xf numFmtId="0" fontId="5" fillId="0" borderId="41" xfId="4" applyFont="1" applyBorder="1" applyAlignment="1">
      <alignment horizontal="center" vertical="center"/>
    </xf>
  </cellXfs>
  <cellStyles count="6">
    <cellStyle name="一般" xfId="0" builtinId="0"/>
    <cellStyle name="一般_支出" xfId="5" xr:uid="{00000000-0005-0000-0000-000001000000}"/>
    <cellStyle name="一般_支出明細表" xfId="4" xr:uid="{00000000-0005-0000-0000-000002000000}"/>
    <cellStyle name="一般_收入" xfId="2" xr:uid="{00000000-0005-0000-0000-000003000000}"/>
    <cellStyle name="一般_收入明細表" xfId="3" xr:uid="{00000000-0005-0000-0000-000004000000}"/>
    <cellStyle name="千分位" xfId="1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HR421/&#27770;&#31639;/109&#27770;&#31639;/109&#23416;&#24180;&#24230;&#27770;&#31639;&#33609;&#26696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書"/>
      <sheetName val="說明書扣除股票投資"/>
      <sheetName val="比較表"/>
      <sheetName val="收入"/>
      <sheetName val="支出"/>
      <sheetName val="資本門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4266749</v>
          </cell>
        </row>
        <row r="7">
          <cell r="G7">
            <v>1857678</v>
          </cell>
        </row>
        <row r="8">
          <cell r="G8">
            <v>101000</v>
          </cell>
        </row>
        <row r="9">
          <cell r="G9">
            <v>400000</v>
          </cell>
        </row>
        <row r="10">
          <cell r="G10">
            <v>1009456</v>
          </cell>
        </row>
        <row r="11">
          <cell r="G11">
            <v>550000</v>
          </cell>
        </row>
        <row r="12">
          <cell r="G12">
            <v>1178200</v>
          </cell>
        </row>
        <row r="13">
          <cell r="G13">
            <v>566000</v>
          </cell>
        </row>
        <row r="14">
          <cell r="G14">
            <v>19900</v>
          </cell>
        </row>
        <row r="18">
          <cell r="G18">
            <v>864799</v>
          </cell>
        </row>
        <row r="19">
          <cell r="G19">
            <v>72000</v>
          </cell>
        </row>
        <row r="20">
          <cell r="G20">
            <v>634075</v>
          </cell>
        </row>
        <row r="21">
          <cell r="G21">
            <v>459000</v>
          </cell>
        </row>
        <row r="22">
          <cell r="G22">
            <v>40979</v>
          </cell>
        </row>
        <row r="23">
          <cell r="G23">
            <v>1034546</v>
          </cell>
        </row>
        <row r="24">
          <cell r="G24">
            <v>94921</v>
          </cell>
        </row>
        <row r="25">
          <cell r="G25">
            <v>23973</v>
          </cell>
        </row>
        <row r="26">
          <cell r="G26">
            <v>23973</v>
          </cell>
        </row>
        <row r="27">
          <cell r="G27">
            <v>690425</v>
          </cell>
        </row>
        <row r="29">
          <cell r="B29">
            <v>45431</v>
          </cell>
        </row>
        <row r="31">
          <cell r="G31">
            <v>38000</v>
          </cell>
        </row>
        <row r="32">
          <cell r="G32">
            <v>48732</v>
          </cell>
        </row>
        <row r="33">
          <cell r="G33">
            <v>89775</v>
          </cell>
        </row>
        <row r="34">
          <cell r="G34">
            <v>45000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workbookViewId="0">
      <selection activeCell="D14" sqref="D14"/>
    </sheetView>
  </sheetViews>
  <sheetFormatPr defaultColWidth="8.75" defaultRowHeight="16.5"/>
  <cols>
    <col min="1" max="1" width="29.5" style="3" customWidth="1"/>
    <col min="2" max="2" width="17.5" style="3" customWidth="1"/>
    <col min="3" max="3" width="17.125" style="3" customWidth="1"/>
    <col min="4" max="4" width="17.5" style="3" bestFit="1" customWidth="1"/>
    <col min="5" max="5" width="15.75" style="3" customWidth="1"/>
    <col min="6" max="7" width="8.75" style="3"/>
    <col min="8" max="8" width="31.625" style="3" bestFit="1" customWidth="1"/>
    <col min="9" max="9" width="26.625" style="3" bestFit="1" customWidth="1"/>
    <col min="10" max="10" width="33.875" style="3" bestFit="1" customWidth="1"/>
    <col min="11" max="11" width="15" style="3" bestFit="1" customWidth="1"/>
    <col min="12" max="16384" width="8.75" style="3"/>
  </cols>
  <sheetData>
    <row r="1" spans="1:11" s="1" customFormat="1" ht="15.75" customHeight="1">
      <c r="A1" s="194" t="s">
        <v>285</v>
      </c>
      <c r="B1" s="195"/>
      <c r="C1" s="195"/>
      <c r="D1" s="195"/>
      <c r="E1" s="195"/>
    </row>
    <row r="2" spans="1:11" s="1" customFormat="1" ht="15.75" customHeight="1">
      <c r="A2" s="194" t="s">
        <v>276</v>
      </c>
      <c r="B2" s="194"/>
      <c r="C2" s="194"/>
      <c r="D2" s="194"/>
      <c r="E2" s="194"/>
    </row>
    <row r="3" spans="1:11" s="1" customFormat="1" ht="15.75" customHeight="1" thickBot="1">
      <c r="A3" s="207" t="s">
        <v>287</v>
      </c>
      <c r="B3" s="207"/>
      <c r="C3" s="207"/>
      <c r="D3" s="207"/>
      <c r="E3" s="207"/>
    </row>
    <row r="4" spans="1:11" s="2" customFormat="1" ht="15.75" customHeight="1">
      <c r="A4" s="202" t="s">
        <v>122</v>
      </c>
      <c r="B4" s="204" t="s">
        <v>21</v>
      </c>
      <c r="C4" s="204" t="s">
        <v>22</v>
      </c>
      <c r="D4" s="196" t="s">
        <v>20</v>
      </c>
      <c r="E4" s="197"/>
    </row>
    <row r="5" spans="1:11" s="2" customFormat="1" ht="15.75" customHeight="1">
      <c r="A5" s="203"/>
      <c r="B5" s="205"/>
      <c r="C5" s="206"/>
      <c r="D5" s="198" t="s">
        <v>100</v>
      </c>
      <c r="E5" s="200" t="s">
        <v>101</v>
      </c>
      <c r="G5" s="3"/>
      <c r="H5" s="3"/>
      <c r="I5" s="3"/>
      <c r="J5" s="3"/>
      <c r="K5" s="3"/>
    </row>
    <row r="6" spans="1:11" ht="15.75" customHeight="1">
      <c r="A6" s="203"/>
      <c r="B6" s="206"/>
      <c r="C6" s="206"/>
      <c r="D6" s="199"/>
      <c r="E6" s="201"/>
    </row>
    <row r="7" spans="1:11" ht="20.100000000000001" customHeight="1">
      <c r="A7" s="10" t="s">
        <v>104</v>
      </c>
      <c r="B7" s="7"/>
      <c r="C7" s="7"/>
      <c r="D7" s="8"/>
      <c r="E7" s="11"/>
      <c r="H7" s="6"/>
      <c r="I7" s="6"/>
      <c r="J7" s="6"/>
    </row>
    <row r="8" spans="1:11" ht="20.100000000000001" customHeight="1">
      <c r="A8" s="10" t="s">
        <v>0</v>
      </c>
      <c r="B8" s="56">
        <f>SUM(B9:B12)</f>
        <v>1735549211</v>
      </c>
      <c r="C8" s="56">
        <f>SUM(C9:C12)</f>
        <v>1727184111</v>
      </c>
      <c r="D8" s="7">
        <f>B8-C8</f>
        <v>8365100</v>
      </c>
      <c r="E8" s="12">
        <f t="shared" ref="E8:E13" si="0">D8/C8*100</f>
        <v>0.48432011079333048</v>
      </c>
      <c r="H8" s="6"/>
      <c r="I8" s="6"/>
      <c r="J8" s="6"/>
    </row>
    <row r="9" spans="1:11" ht="20.100000000000001" customHeight="1">
      <c r="A9" s="10" t="s">
        <v>1</v>
      </c>
      <c r="B9" s="56">
        <v>132150</v>
      </c>
      <c r="C9" s="56">
        <v>237345</v>
      </c>
      <c r="D9" s="7">
        <f t="shared" ref="D9:D43" si="1">B9-C9</f>
        <v>-105195</v>
      </c>
      <c r="E9" s="12">
        <f t="shared" si="0"/>
        <v>-44.321557226821717</v>
      </c>
      <c r="H9" s="6"/>
      <c r="I9" s="6"/>
      <c r="J9" s="6"/>
    </row>
    <row r="10" spans="1:11" ht="20.100000000000001" customHeight="1">
      <c r="A10" s="10" t="s">
        <v>2</v>
      </c>
      <c r="B10" s="56">
        <v>1714217521</v>
      </c>
      <c r="C10" s="56">
        <v>1718691211</v>
      </c>
      <c r="D10" s="7">
        <f t="shared" si="1"/>
        <v>-4473690</v>
      </c>
      <c r="E10" s="12">
        <f t="shared" si="0"/>
        <v>-0.26029632148971288</v>
      </c>
      <c r="H10" s="6"/>
      <c r="I10" s="6"/>
      <c r="J10" s="6"/>
    </row>
    <row r="11" spans="1:11" ht="20.100000000000001" customHeight="1">
      <c r="A11" s="10" t="s">
        <v>102</v>
      </c>
      <c r="B11" s="56">
        <v>6073173</v>
      </c>
      <c r="C11" s="56">
        <v>8169295</v>
      </c>
      <c r="D11" s="7">
        <f t="shared" si="1"/>
        <v>-2096122</v>
      </c>
      <c r="E11" s="12">
        <f t="shared" si="0"/>
        <v>-25.658542138581115</v>
      </c>
      <c r="H11" s="6"/>
      <c r="I11" s="6"/>
      <c r="J11" s="6"/>
    </row>
    <row r="12" spans="1:11" ht="20.100000000000001" customHeight="1">
      <c r="A12" s="10" t="s">
        <v>3</v>
      </c>
      <c r="B12" s="56">
        <v>15126367</v>
      </c>
      <c r="C12" s="56">
        <v>86260</v>
      </c>
      <c r="D12" s="7">
        <f t="shared" si="1"/>
        <v>15040107</v>
      </c>
      <c r="E12" s="12">
        <f t="shared" si="0"/>
        <v>17435.783677254811</v>
      </c>
    </row>
    <row r="13" spans="1:11" ht="20.100000000000001" customHeight="1">
      <c r="A13" s="10" t="s">
        <v>4</v>
      </c>
      <c r="B13" s="56">
        <f>B14+B15</f>
        <v>369660700</v>
      </c>
      <c r="C13" s="56">
        <f>C14+C15</f>
        <v>346767158</v>
      </c>
      <c r="D13" s="7">
        <f t="shared" si="1"/>
        <v>22893542</v>
      </c>
      <c r="E13" s="12">
        <f t="shared" si="0"/>
        <v>6.6019925681658691</v>
      </c>
      <c r="H13" s="6"/>
      <c r="I13" s="6"/>
      <c r="J13" s="6"/>
    </row>
    <row r="14" spans="1:11" ht="20.100000000000001" customHeight="1">
      <c r="A14" s="10" t="s">
        <v>307</v>
      </c>
      <c r="B14" s="56">
        <v>355943956</v>
      </c>
      <c r="C14" s="56">
        <v>333050414</v>
      </c>
      <c r="D14" s="7">
        <f t="shared" si="1"/>
        <v>22893542</v>
      </c>
      <c r="E14" s="12">
        <f t="shared" ref="E14:E43" si="2">D14/C14*100</f>
        <v>6.8738968749638003</v>
      </c>
      <c r="H14" s="6"/>
      <c r="I14" s="6"/>
      <c r="J14" s="6"/>
    </row>
    <row r="15" spans="1:11" ht="20.100000000000001" customHeight="1">
      <c r="A15" s="10" t="s">
        <v>5</v>
      </c>
      <c r="B15" s="56">
        <v>13716744</v>
      </c>
      <c r="C15" s="56">
        <v>13716744</v>
      </c>
      <c r="D15" s="7">
        <f t="shared" si="1"/>
        <v>0</v>
      </c>
      <c r="E15" s="12">
        <f t="shared" si="2"/>
        <v>0</v>
      </c>
      <c r="H15" s="6"/>
      <c r="I15" s="6"/>
      <c r="J15" s="6"/>
    </row>
    <row r="16" spans="1:11" ht="20.100000000000001" customHeight="1">
      <c r="A16" s="10" t="s">
        <v>6</v>
      </c>
      <c r="B16" s="56">
        <f>SUM(B17:B21)</f>
        <v>337624813</v>
      </c>
      <c r="C16" s="56">
        <f>SUM(C17:C21)</f>
        <v>333940779</v>
      </c>
      <c r="D16" s="7">
        <f t="shared" si="1"/>
        <v>3684034</v>
      </c>
      <c r="E16" s="12">
        <f t="shared" si="2"/>
        <v>1.1031997981893671</v>
      </c>
    </row>
    <row r="17" spans="1:10" ht="20.100000000000001" customHeight="1">
      <c r="A17" s="10" t="s">
        <v>103</v>
      </c>
      <c r="B17" s="56">
        <v>197856965</v>
      </c>
      <c r="C17" s="56">
        <v>193590216</v>
      </c>
      <c r="D17" s="7">
        <f t="shared" si="1"/>
        <v>4266749</v>
      </c>
      <c r="E17" s="12">
        <f t="shared" si="2"/>
        <v>2.2040106613652419</v>
      </c>
      <c r="H17" s="6"/>
      <c r="I17" s="6"/>
      <c r="J17" s="6"/>
    </row>
    <row r="18" spans="1:10" ht="20.100000000000001" customHeight="1">
      <c r="A18" s="10" t="s">
        <v>7</v>
      </c>
      <c r="B18" s="56">
        <v>117644731</v>
      </c>
      <c r="C18" s="56">
        <v>115189250</v>
      </c>
      <c r="D18" s="7">
        <f t="shared" si="1"/>
        <v>2455481</v>
      </c>
      <c r="E18" s="12">
        <f t="shared" si="2"/>
        <v>2.1316928446013841</v>
      </c>
      <c r="H18" s="6"/>
      <c r="I18" s="6"/>
      <c r="J18" s="6"/>
    </row>
    <row r="19" spans="1:10" ht="20.100000000000001" customHeight="1">
      <c r="A19" s="10" t="s">
        <v>8</v>
      </c>
      <c r="B19" s="56">
        <v>2580828</v>
      </c>
      <c r="C19" s="56">
        <v>2535397</v>
      </c>
      <c r="D19" s="7">
        <f t="shared" si="1"/>
        <v>45431</v>
      </c>
      <c r="E19" s="12">
        <f t="shared" si="2"/>
        <v>1.7918692812210475</v>
      </c>
      <c r="H19" s="6"/>
      <c r="I19" s="6"/>
      <c r="J19" s="6"/>
    </row>
    <row r="20" spans="1:10" ht="20.100000000000001" customHeight="1">
      <c r="A20" s="10" t="s">
        <v>9</v>
      </c>
      <c r="B20" s="56">
        <v>19542289</v>
      </c>
      <c r="C20" s="56">
        <v>20231639</v>
      </c>
      <c r="D20" s="7">
        <f t="shared" si="1"/>
        <v>-689350</v>
      </c>
      <c r="E20" s="12">
        <f t="shared" si="2"/>
        <v>-3.4072869726471491</v>
      </c>
      <c r="H20" s="6"/>
      <c r="I20" s="6"/>
      <c r="J20" s="6"/>
    </row>
    <row r="21" spans="1:10" ht="20.100000000000001" customHeight="1">
      <c r="A21" s="10" t="s">
        <v>310</v>
      </c>
      <c r="B21" s="56">
        <v>0</v>
      </c>
      <c r="C21" s="56">
        <v>2394277</v>
      </c>
      <c r="D21" s="7">
        <f t="shared" si="1"/>
        <v>-2394277</v>
      </c>
      <c r="E21" s="12">
        <f t="shared" si="2"/>
        <v>-100</v>
      </c>
      <c r="H21" s="6"/>
      <c r="I21" s="6"/>
    </row>
    <row r="22" spans="1:10" ht="20.100000000000001" customHeight="1">
      <c r="A22" s="10" t="s">
        <v>311</v>
      </c>
      <c r="B22" s="56">
        <v>89400</v>
      </c>
      <c r="C22" s="56">
        <v>0</v>
      </c>
      <c r="D22" s="7">
        <f t="shared" ref="D22" si="3">B22-C22</f>
        <v>89400</v>
      </c>
      <c r="E22" s="12" t="e">
        <f t="shared" si="2"/>
        <v>#DIV/0!</v>
      </c>
      <c r="H22" s="6"/>
      <c r="I22" s="6"/>
    </row>
    <row r="23" spans="1:10" ht="20.100000000000001" customHeight="1">
      <c r="A23" s="10" t="s">
        <v>23</v>
      </c>
      <c r="B23" s="56">
        <f>SUM(B24:B25)</f>
        <v>116345669</v>
      </c>
      <c r="C23" s="56">
        <f>SUM(C24:C25)</f>
        <v>113971492</v>
      </c>
      <c r="D23" s="7">
        <f t="shared" si="1"/>
        <v>2374177</v>
      </c>
      <c r="E23" s="12">
        <f t="shared" si="2"/>
        <v>2.0831323327766915</v>
      </c>
      <c r="H23" s="6"/>
      <c r="I23" s="6"/>
      <c r="J23" s="6"/>
    </row>
    <row r="24" spans="1:10" ht="20.100000000000001" customHeight="1">
      <c r="A24" s="10" t="s">
        <v>10</v>
      </c>
      <c r="B24" s="56">
        <v>325000</v>
      </c>
      <c r="C24" s="56">
        <v>345100</v>
      </c>
      <c r="D24" s="7">
        <f t="shared" si="1"/>
        <v>-20100</v>
      </c>
      <c r="E24" s="12">
        <f t="shared" si="2"/>
        <v>-5.8243987250072449</v>
      </c>
      <c r="H24" s="6"/>
      <c r="I24" s="6"/>
      <c r="J24" s="6"/>
    </row>
    <row r="25" spans="1:10" ht="20.100000000000001" customHeight="1">
      <c r="A25" s="10" t="s">
        <v>25</v>
      </c>
      <c r="B25" s="56">
        <v>116020669</v>
      </c>
      <c r="C25" s="56">
        <v>113626392</v>
      </c>
      <c r="D25" s="7">
        <f t="shared" si="1"/>
        <v>2394277</v>
      </c>
      <c r="E25" s="12">
        <f t="shared" si="2"/>
        <v>2.1071486631380498</v>
      </c>
    </row>
    <row r="26" spans="1:10" ht="20.100000000000001" customHeight="1">
      <c r="A26" s="10" t="s">
        <v>105</v>
      </c>
      <c r="B26" s="56">
        <f>B8+B13+B16+B23+B22</f>
        <v>2559269793</v>
      </c>
      <c r="C26" s="56">
        <f>C8+C13+C16+C23+C22</f>
        <v>2521863540</v>
      </c>
      <c r="D26" s="56">
        <f>D8+D13+D16+D23+D22</f>
        <v>37406253</v>
      </c>
      <c r="E26" s="12">
        <f t="shared" si="2"/>
        <v>1.4832782347929896</v>
      </c>
      <c r="H26" s="6"/>
      <c r="I26" s="6"/>
    </row>
    <row r="27" spans="1:10" ht="20.100000000000001" customHeight="1">
      <c r="A27" s="10" t="s">
        <v>24</v>
      </c>
      <c r="B27" s="56">
        <f>B28+B32</f>
        <v>109472571</v>
      </c>
      <c r="C27" s="56">
        <f>C28+C32</f>
        <v>104208564</v>
      </c>
      <c r="D27" s="7">
        <f t="shared" si="1"/>
        <v>5264007</v>
      </c>
      <c r="E27" s="12">
        <f t="shared" si="2"/>
        <v>5.0514149681594311</v>
      </c>
      <c r="H27" s="6"/>
      <c r="I27" s="6"/>
      <c r="J27" s="6"/>
    </row>
    <row r="28" spans="1:10" ht="20.100000000000001" customHeight="1">
      <c r="A28" s="10" t="s">
        <v>11</v>
      </c>
      <c r="B28" s="56">
        <f>SUM(B29:B31)</f>
        <v>67217082</v>
      </c>
      <c r="C28" s="56">
        <f>SUM(C29:C31)</f>
        <v>62504454</v>
      </c>
      <c r="D28" s="7">
        <f t="shared" si="1"/>
        <v>4712628</v>
      </c>
      <c r="E28" s="12">
        <f t="shared" si="2"/>
        <v>7.5396674931357692</v>
      </c>
      <c r="H28" s="6"/>
      <c r="I28" s="6"/>
      <c r="J28" s="6"/>
    </row>
    <row r="29" spans="1:10" ht="20.100000000000001" customHeight="1">
      <c r="A29" s="10" t="s">
        <v>12</v>
      </c>
      <c r="B29" s="56">
        <v>9969559</v>
      </c>
      <c r="C29" s="56">
        <v>4321980</v>
      </c>
      <c r="D29" s="7">
        <f t="shared" si="1"/>
        <v>5647579</v>
      </c>
      <c r="E29" s="12">
        <f t="shared" si="2"/>
        <v>130.67110444749861</v>
      </c>
      <c r="H29" s="6"/>
      <c r="I29" s="6"/>
      <c r="J29" s="6"/>
    </row>
    <row r="30" spans="1:10" ht="20.100000000000001" customHeight="1">
      <c r="A30" s="10" t="s">
        <v>13</v>
      </c>
      <c r="B30" s="150">
        <v>23130488</v>
      </c>
      <c r="C30" s="150">
        <v>30211121</v>
      </c>
      <c r="D30" s="7">
        <f t="shared" si="1"/>
        <v>-7080633</v>
      </c>
      <c r="E30" s="12">
        <f t="shared" si="2"/>
        <v>-23.437174012841165</v>
      </c>
    </row>
    <row r="31" spans="1:10" ht="20.100000000000001" customHeight="1">
      <c r="A31" s="10" t="s">
        <v>14</v>
      </c>
      <c r="B31" s="56">
        <v>34117035</v>
      </c>
      <c r="C31" s="56">
        <v>27971353</v>
      </c>
      <c r="D31" s="7">
        <f t="shared" si="1"/>
        <v>6145682</v>
      </c>
      <c r="E31" s="12">
        <f t="shared" si="2"/>
        <v>21.971343324007243</v>
      </c>
    </row>
    <row r="32" spans="1:10" ht="20.100000000000001" customHeight="1">
      <c r="A32" s="10" t="s">
        <v>26</v>
      </c>
      <c r="B32" s="56">
        <f>B33+B34</f>
        <v>42255489</v>
      </c>
      <c r="C32" s="56">
        <f>C33+C34</f>
        <v>41704110</v>
      </c>
      <c r="D32" s="7">
        <f t="shared" si="1"/>
        <v>551379</v>
      </c>
      <c r="E32" s="12">
        <f t="shared" si="2"/>
        <v>1.3221214887453538</v>
      </c>
    </row>
    <row r="33" spans="1:10" ht="20.100000000000001" customHeight="1">
      <c r="A33" s="10" t="s">
        <v>15</v>
      </c>
      <c r="B33" s="56">
        <v>1595041</v>
      </c>
      <c r="C33" s="56">
        <v>1043662</v>
      </c>
      <c r="D33" s="7">
        <f t="shared" si="1"/>
        <v>551379</v>
      </c>
      <c r="E33" s="12">
        <f t="shared" si="2"/>
        <v>52.831184808874909</v>
      </c>
      <c r="H33" s="6"/>
      <c r="I33" s="6"/>
      <c r="J33" s="6"/>
    </row>
    <row r="34" spans="1:10" ht="19.5" customHeight="1">
      <c r="A34" s="10" t="s">
        <v>106</v>
      </c>
      <c r="B34" s="56">
        <v>40660448</v>
      </c>
      <c r="C34" s="56">
        <v>40660448</v>
      </c>
      <c r="D34" s="7">
        <f t="shared" si="1"/>
        <v>0</v>
      </c>
      <c r="E34" s="12">
        <f t="shared" si="2"/>
        <v>0</v>
      </c>
      <c r="H34" s="6"/>
      <c r="I34" s="6"/>
      <c r="J34" s="6"/>
    </row>
    <row r="35" spans="1:10" ht="19.5" customHeight="1">
      <c r="A35" s="10" t="s">
        <v>114</v>
      </c>
      <c r="B35" s="56">
        <f>B36+B39+B41</f>
        <v>2449797222</v>
      </c>
      <c r="C35" s="56">
        <f>C36+C39+C41</f>
        <v>2417654976</v>
      </c>
      <c r="D35" s="7">
        <f t="shared" si="1"/>
        <v>32142246</v>
      </c>
      <c r="E35" s="12">
        <f t="shared" si="2"/>
        <v>1.3294802740289771</v>
      </c>
      <c r="H35" s="6"/>
      <c r="I35" s="6"/>
      <c r="J35" s="6"/>
    </row>
    <row r="36" spans="1:10" ht="19.5" customHeight="1">
      <c r="A36" s="10" t="s">
        <v>112</v>
      </c>
      <c r="B36" s="56">
        <f>B37+B38</f>
        <v>2289926062</v>
      </c>
      <c r="C36" s="56">
        <f>C37+C38</f>
        <v>2198320596</v>
      </c>
      <c r="D36" s="7">
        <f t="shared" si="1"/>
        <v>91605466</v>
      </c>
      <c r="E36" s="12">
        <f t="shared" si="2"/>
        <v>4.1670658122697217</v>
      </c>
      <c r="H36" s="6"/>
      <c r="I36" s="6"/>
      <c r="J36" s="6"/>
    </row>
    <row r="37" spans="1:10" ht="19.5" customHeight="1">
      <c r="A37" s="10" t="s">
        <v>16</v>
      </c>
      <c r="B37" s="56">
        <v>13716744</v>
      </c>
      <c r="C37" s="56">
        <v>13716744</v>
      </c>
      <c r="D37" s="7">
        <f t="shared" si="1"/>
        <v>0</v>
      </c>
      <c r="E37" s="12">
        <f t="shared" si="2"/>
        <v>0</v>
      </c>
    </row>
    <row r="38" spans="1:10" ht="19.5" customHeight="1">
      <c r="A38" s="10" t="s">
        <v>17</v>
      </c>
      <c r="B38" s="56">
        <v>2276209318</v>
      </c>
      <c r="C38" s="56">
        <v>2184603852</v>
      </c>
      <c r="D38" s="7">
        <f t="shared" si="1"/>
        <v>91605466</v>
      </c>
      <c r="E38" s="12">
        <f t="shared" si="2"/>
        <v>4.1932300868249133</v>
      </c>
      <c r="H38" s="6"/>
      <c r="I38" s="6"/>
    </row>
    <row r="39" spans="1:10" ht="19.5" customHeight="1">
      <c r="A39" s="10" t="s">
        <v>18</v>
      </c>
      <c r="B39" s="56">
        <f>B40</f>
        <v>174580056</v>
      </c>
      <c r="C39" s="56">
        <f>C40</f>
        <v>238922190</v>
      </c>
      <c r="D39" s="7">
        <f t="shared" si="1"/>
        <v>-64342134</v>
      </c>
      <c r="E39" s="12">
        <f t="shared" si="2"/>
        <v>-26.930162493487941</v>
      </c>
      <c r="H39" s="6"/>
      <c r="I39" s="6"/>
      <c r="J39" s="6"/>
    </row>
    <row r="40" spans="1:10" ht="19.5" customHeight="1">
      <c r="A40" s="10" t="s">
        <v>19</v>
      </c>
      <c r="B40" s="56">
        <v>174580056</v>
      </c>
      <c r="C40" s="56">
        <v>238922190</v>
      </c>
      <c r="D40" s="7">
        <f t="shared" si="1"/>
        <v>-64342134</v>
      </c>
      <c r="E40" s="12">
        <f t="shared" si="2"/>
        <v>-26.930162493487941</v>
      </c>
      <c r="H40" s="6"/>
      <c r="I40" s="6"/>
      <c r="J40" s="6"/>
    </row>
    <row r="41" spans="1:10" ht="19.5" customHeight="1">
      <c r="A41" s="13" t="s">
        <v>113</v>
      </c>
      <c r="B41" s="56">
        <f>B42</f>
        <v>-14708896</v>
      </c>
      <c r="C41" s="56">
        <f>C42</f>
        <v>-19587810</v>
      </c>
      <c r="D41" s="7">
        <f t="shared" si="1"/>
        <v>4878914</v>
      </c>
      <c r="E41" s="12">
        <f t="shared" si="2"/>
        <v>-24.907909562120523</v>
      </c>
      <c r="H41" s="6"/>
      <c r="I41" s="6"/>
      <c r="J41" s="6"/>
    </row>
    <row r="42" spans="1:10" ht="19.5" customHeight="1">
      <c r="A42" s="13" t="s">
        <v>115</v>
      </c>
      <c r="B42" s="56">
        <v>-14708896</v>
      </c>
      <c r="C42" s="56">
        <v>-19587810</v>
      </c>
      <c r="D42" s="7">
        <f t="shared" si="1"/>
        <v>4878914</v>
      </c>
      <c r="E42" s="12">
        <f t="shared" si="2"/>
        <v>-24.907909562120523</v>
      </c>
      <c r="H42" s="6"/>
      <c r="I42" s="6"/>
      <c r="J42" s="6"/>
    </row>
    <row r="43" spans="1:10" ht="19.5" customHeight="1" thickBot="1">
      <c r="A43" s="14" t="s">
        <v>107</v>
      </c>
      <c r="B43" s="151">
        <f>B27+B35</f>
        <v>2559269793</v>
      </c>
      <c r="C43" s="151">
        <f>C27+C35</f>
        <v>2521863540</v>
      </c>
      <c r="D43" s="15">
        <f t="shared" si="1"/>
        <v>37406253</v>
      </c>
      <c r="E43" s="12">
        <f t="shared" si="2"/>
        <v>1.4832782347929896</v>
      </c>
    </row>
    <row r="45" spans="1:10">
      <c r="H45" s="6"/>
      <c r="I45" s="6"/>
      <c r="J45" s="6"/>
    </row>
    <row r="46" spans="1:10">
      <c r="H46" s="6"/>
      <c r="I46" s="6"/>
      <c r="J46" s="6"/>
    </row>
    <row r="47" spans="1:10">
      <c r="H47" s="6"/>
      <c r="I47" s="6"/>
      <c r="J47" s="6"/>
    </row>
    <row r="49" spans="8:10">
      <c r="H49" s="6"/>
      <c r="I49" s="6"/>
      <c r="J49" s="6"/>
    </row>
    <row r="50" spans="8:10">
      <c r="H50" s="6"/>
      <c r="I50" s="6"/>
      <c r="J50" s="6"/>
    </row>
    <row r="51" spans="8:10">
      <c r="H51" s="6"/>
      <c r="I51" s="6"/>
      <c r="J51" s="6"/>
    </row>
    <row r="52" spans="8:10">
      <c r="H52" s="6"/>
      <c r="I52" s="6"/>
      <c r="J52" s="6"/>
    </row>
    <row r="53" spans="8:10">
      <c r="H53" s="6"/>
      <c r="I53" s="6"/>
      <c r="J53" s="6"/>
    </row>
  </sheetData>
  <sheetProtection algorithmName="SHA-512" hashValue="5FedPprp9CfrMusy1GFxt3ee2ZDOKNoAVMqosUoG+wAgVEBlr+Bo+MbQD+QeH74kEoTJcx0ZNtbM05+3weUe/w==" saltValue="OuHmLtRyTmYkGSMTPz2XRQ==" spinCount="100000" sheet="1" objects="1" scenarios="1"/>
  <mergeCells count="9">
    <mergeCell ref="A1:E1"/>
    <mergeCell ref="D4:E4"/>
    <mergeCell ref="D5:D6"/>
    <mergeCell ref="E5:E6"/>
    <mergeCell ref="A4:A6"/>
    <mergeCell ref="B4:B6"/>
    <mergeCell ref="C4:C6"/>
    <mergeCell ref="A2:E2"/>
    <mergeCell ref="A3:E3"/>
  </mergeCells>
  <phoneticPr fontId="1" type="noConversion"/>
  <printOptions horizontalCentered="1" verticalCentered="1"/>
  <pageMargins left="0.19685039370078741" right="0.19685039370078741" top="0.31496062992125984" bottom="0.39370078740157483" header="0.31496062992125984" footer="0.19685039370078741"/>
  <pageSetup paperSize="9" orientation="portrait" r:id="rId1"/>
  <headerFooter>
    <oddHeader>&amp;R
&amp;"標楷體,標準"全&amp;N頁第&amp;P頁
單位：新臺幣元</oddHeader>
    <oddFooter>&amp;C
～  　    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7" sqref="A7"/>
    </sheetView>
  </sheetViews>
  <sheetFormatPr defaultColWidth="8.75" defaultRowHeight="16.5"/>
  <cols>
    <col min="1" max="1" width="15.5" style="3" bestFit="1" customWidth="1"/>
    <col min="2" max="2" width="21.125" style="3" customWidth="1"/>
    <col min="3" max="4" width="15.875" style="3" customWidth="1"/>
    <col min="5" max="5" width="14.75" style="3" customWidth="1"/>
    <col min="6" max="6" width="16.125" style="3" customWidth="1"/>
    <col min="7" max="8" width="8.75" style="3"/>
    <col min="9" max="9" width="23.75" style="3" customWidth="1"/>
    <col min="10" max="10" width="38.5" style="3" customWidth="1"/>
    <col min="11" max="16384" width="8.75" style="3"/>
  </cols>
  <sheetData>
    <row r="1" spans="1:10" ht="22.5" customHeight="1">
      <c r="A1" s="194" t="s">
        <v>186</v>
      </c>
      <c r="B1" s="194"/>
      <c r="C1" s="194"/>
      <c r="D1" s="194"/>
      <c r="E1" s="194"/>
      <c r="F1" s="194"/>
      <c r="I1" s="2"/>
      <c r="J1" s="2"/>
    </row>
    <row r="2" spans="1:10" ht="22.5" customHeight="1">
      <c r="A2" s="194" t="s">
        <v>277</v>
      </c>
      <c r="B2" s="194"/>
      <c r="C2" s="194"/>
      <c r="D2" s="194"/>
      <c r="E2" s="194"/>
      <c r="F2" s="194"/>
      <c r="J2" s="6"/>
    </row>
    <row r="3" spans="1:10" ht="22.5" customHeight="1" thickBot="1">
      <c r="A3" s="207" t="s">
        <v>288</v>
      </c>
      <c r="B3" s="207"/>
      <c r="C3" s="207"/>
      <c r="D3" s="207"/>
      <c r="E3" s="207"/>
      <c r="F3" s="207"/>
      <c r="J3" s="6"/>
    </row>
    <row r="4" spans="1:10" ht="30" customHeight="1">
      <c r="A4" s="202" t="s">
        <v>27</v>
      </c>
      <c r="B4" s="211" t="s">
        <v>42</v>
      </c>
      <c r="C4" s="213" t="s">
        <v>123</v>
      </c>
      <c r="D4" s="213" t="s">
        <v>124</v>
      </c>
      <c r="E4" s="208" t="s">
        <v>43</v>
      </c>
      <c r="F4" s="209"/>
      <c r="J4" s="6"/>
    </row>
    <row r="5" spans="1:10" ht="31.5" customHeight="1">
      <c r="A5" s="210"/>
      <c r="B5" s="212"/>
      <c r="C5" s="214"/>
      <c r="D5" s="214"/>
      <c r="E5" s="17" t="s">
        <v>44</v>
      </c>
      <c r="F5" s="48" t="s">
        <v>45</v>
      </c>
      <c r="G5" s="18"/>
      <c r="H5" s="18"/>
      <c r="J5" s="6"/>
    </row>
    <row r="6" spans="1:10" ht="30" customHeight="1">
      <c r="A6" s="166">
        <f>SUM(A7:A12)</f>
        <v>243325181</v>
      </c>
      <c r="B6" s="4" t="s">
        <v>28</v>
      </c>
      <c r="C6" s="9">
        <f>SUM(C7:C12)</f>
        <v>156104713</v>
      </c>
      <c r="D6" s="9">
        <f>SUM(D7:D12)</f>
        <v>199855188</v>
      </c>
      <c r="E6" s="7">
        <f>D6-C6</f>
        <v>43750475</v>
      </c>
      <c r="F6" s="12">
        <f>E6/C6*100</f>
        <v>28.026363944565851</v>
      </c>
      <c r="J6" s="6"/>
    </row>
    <row r="7" spans="1:10" ht="30" customHeight="1">
      <c r="A7" s="166">
        <v>55275432</v>
      </c>
      <c r="B7" s="4" t="s">
        <v>29</v>
      </c>
      <c r="C7" s="9">
        <f>收入明細!C6</f>
        <v>52879886</v>
      </c>
      <c r="D7" s="9">
        <f>收入明細!D6</f>
        <v>49999508</v>
      </c>
      <c r="E7" s="7">
        <f t="shared" ref="E7:E25" si="0">D7-C7</f>
        <v>-2880378</v>
      </c>
      <c r="F7" s="12">
        <f t="shared" ref="F7:F25" si="1">E7/C7*100</f>
        <v>-5.4470200635455228</v>
      </c>
      <c r="J7" s="6"/>
    </row>
    <row r="8" spans="1:10" ht="30" customHeight="1">
      <c r="A8" s="166">
        <v>41374092</v>
      </c>
      <c r="B8" s="4" t="s">
        <v>125</v>
      </c>
      <c r="C8" s="9">
        <f>收入明細!C11</f>
        <v>50160968</v>
      </c>
      <c r="D8" s="9">
        <f>收入明細!D11</f>
        <v>38317139</v>
      </c>
      <c r="E8" s="7">
        <f t="shared" si="0"/>
        <v>-11843829</v>
      </c>
      <c r="F8" s="12">
        <f t="shared" si="1"/>
        <v>-23.611643618998741</v>
      </c>
      <c r="J8" s="6"/>
    </row>
    <row r="9" spans="1:10" ht="30" customHeight="1">
      <c r="A9" s="166">
        <f>48580618-41374092</f>
        <v>7206526</v>
      </c>
      <c r="B9" s="4" t="s">
        <v>30</v>
      </c>
      <c r="C9" s="9">
        <f>收入明細!C12</f>
        <v>9681847</v>
      </c>
      <c r="D9" s="9">
        <f>45825450-38317139</f>
        <v>7508311</v>
      </c>
      <c r="E9" s="7">
        <f t="shared" si="0"/>
        <v>-2173536</v>
      </c>
      <c r="F9" s="12">
        <f t="shared" si="1"/>
        <v>-22.449600783817385</v>
      </c>
      <c r="J9" s="6"/>
    </row>
    <row r="10" spans="1:10" ht="30" customHeight="1">
      <c r="A10" s="166">
        <v>23092723</v>
      </c>
      <c r="B10" s="4" t="s">
        <v>31</v>
      </c>
      <c r="C10" s="9">
        <f>收入明細!C13</f>
        <v>18425469</v>
      </c>
      <c r="D10" s="9">
        <f>收入明細!D13</f>
        <v>19533470</v>
      </c>
      <c r="E10" s="7">
        <f t="shared" si="0"/>
        <v>1108001</v>
      </c>
      <c r="F10" s="12">
        <f t="shared" si="1"/>
        <v>6.0134208795445048</v>
      </c>
      <c r="J10" s="6"/>
    </row>
    <row r="11" spans="1:10" ht="30" customHeight="1">
      <c r="A11" s="166">
        <v>104208136</v>
      </c>
      <c r="B11" s="4" t="s">
        <v>32</v>
      </c>
      <c r="C11" s="9">
        <f>收入明細!C16</f>
        <v>13252825</v>
      </c>
      <c r="D11" s="9">
        <f>收入明細!D16</f>
        <v>69114207</v>
      </c>
      <c r="E11" s="7">
        <f t="shared" si="0"/>
        <v>55861382</v>
      </c>
      <c r="F11" s="12">
        <f t="shared" si="1"/>
        <v>421.50546770216914</v>
      </c>
      <c r="J11" s="6"/>
    </row>
    <row r="12" spans="1:10" ht="30" customHeight="1">
      <c r="A12" s="166">
        <v>12168272</v>
      </c>
      <c r="B12" s="4" t="s">
        <v>33</v>
      </c>
      <c r="C12" s="9">
        <f>收入明細!C19</f>
        <v>11703718</v>
      </c>
      <c r="D12" s="9">
        <f>收入明細!D19</f>
        <v>15382553</v>
      </c>
      <c r="E12" s="7">
        <f t="shared" si="0"/>
        <v>3678835</v>
      </c>
      <c r="F12" s="12">
        <f t="shared" si="1"/>
        <v>31.433045464697628</v>
      </c>
    </row>
    <row r="13" spans="1:10" ht="30" customHeight="1">
      <c r="A13" s="166">
        <f>SUM(A14:A20)</f>
        <v>202435760</v>
      </c>
      <c r="B13" s="4" t="s">
        <v>34</v>
      </c>
      <c r="C13" s="9">
        <f>SUM(C14:C20)</f>
        <v>189608620</v>
      </c>
      <c r="D13" s="9">
        <f>SUM(D14:D20)</f>
        <v>172632116</v>
      </c>
      <c r="E13" s="7">
        <f t="shared" si="0"/>
        <v>-16976504</v>
      </c>
      <c r="F13" s="12">
        <f t="shared" si="1"/>
        <v>-8.9534452600309002</v>
      </c>
    </row>
    <row r="14" spans="1:10" ht="30" customHeight="1">
      <c r="A14" s="166">
        <v>2044056</v>
      </c>
      <c r="B14" s="4" t="s">
        <v>35</v>
      </c>
      <c r="C14" s="9">
        <f>支出明細表!C6</f>
        <v>2375472</v>
      </c>
      <c r="D14" s="9">
        <f>支出明細表!D6</f>
        <v>2029162</v>
      </c>
      <c r="E14" s="7">
        <f t="shared" si="0"/>
        <v>-346310</v>
      </c>
      <c r="F14" s="12">
        <f t="shared" si="1"/>
        <v>-14.578576383977584</v>
      </c>
      <c r="J14" s="6"/>
    </row>
    <row r="15" spans="1:10" ht="30" customHeight="1">
      <c r="A15" s="166">
        <v>31737950</v>
      </c>
      <c r="B15" s="4" t="s">
        <v>36</v>
      </c>
      <c r="C15" s="9">
        <f>支出明細表!C12</f>
        <v>25694849</v>
      </c>
      <c r="D15" s="9">
        <f>支出明細表!D12</f>
        <v>23199822</v>
      </c>
      <c r="E15" s="7">
        <f t="shared" si="0"/>
        <v>-2495027</v>
      </c>
      <c r="F15" s="12">
        <f t="shared" si="1"/>
        <v>-9.710222465210828</v>
      </c>
      <c r="J15" s="6"/>
    </row>
    <row r="16" spans="1:10" ht="30" customHeight="1">
      <c r="A16" s="166">
        <v>90505663</v>
      </c>
      <c r="B16" s="20" t="s">
        <v>37</v>
      </c>
      <c r="C16" s="9">
        <f>支出明細表!C18</f>
        <v>77339167</v>
      </c>
      <c r="D16" s="9">
        <f>支出明細表!D18</f>
        <v>74769344</v>
      </c>
      <c r="E16" s="7">
        <f t="shared" si="0"/>
        <v>-2569823</v>
      </c>
      <c r="F16" s="12">
        <f t="shared" si="1"/>
        <v>-3.3227963264719413</v>
      </c>
      <c r="J16" s="6"/>
    </row>
    <row r="17" spans="1:10" ht="30" customHeight="1">
      <c r="A17" s="166">
        <v>886180</v>
      </c>
      <c r="B17" s="4" t="s">
        <v>38</v>
      </c>
      <c r="C17" s="9">
        <f>支出明細表!C24</f>
        <v>1560000</v>
      </c>
      <c r="D17" s="19">
        <f>支出明細表!D24</f>
        <v>1011000</v>
      </c>
      <c r="E17" s="7">
        <f t="shared" si="0"/>
        <v>-549000</v>
      </c>
      <c r="F17" s="12">
        <f t="shared" si="1"/>
        <v>-35.192307692307693</v>
      </c>
      <c r="J17" s="6"/>
    </row>
    <row r="18" spans="1:10" ht="30" customHeight="1">
      <c r="A18" s="166">
        <v>44305250</v>
      </c>
      <c r="B18" s="4" t="s">
        <v>39</v>
      </c>
      <c r="C18" s="9">
        <f>支出明細表!C26</f>
        <v>45327369</v>
      </c>
      <c r="D18" s="9">
        <f>支出明細表!D26</f>
        <v>40539873</v>
      </c>
      <c r="E18" s="7">
        <f t="shared" si="0"/>
        <v>-4787496</v>
      </c>
      <c r="F18" s="12">
        <f t="shared" si="1"/>
        <v>-10.562042548730327</v>
      </c>
      <c r="J18" s="6"/>
    </row>
    <row r="19" spans="1:10" ht="30" customHeight="1">
      <c r="A19" s="167">
        <v>4269317</v>
      </c>
      <c r="B19" s="4" t="s">
        <v>40</v>
      </c>
      <c r="C19" s="19">
        <f>支出明細表!C32</f>
        <v>6469263</v>
      </c>
      <c r="D19" s="9">
        <f>支出明細表!D32</f>
        <v>5270302</v>
      </c>
      <c r="E19" s="7">
        <f t="shared" si="0"/>
        <v>-1198961</v>
      </c>
      <c r="F19" s="12">
        <f t="shared" si="1"/>
        <v>-18.533193039145264</v>
      </c>
    </row>
    <row r="20" spans="1:10" ht="30" customHeight="1">
      <c r="A20" s="166">
        <v>28687344</v>
      </c>
      <c r="B20" s="4" t="s">
        <v>41</v>
      </c>
      <c r="C20" s="9">
        <f>支出明細表!C33</f>
        <v>30842500</v>
      </c>
      <c r="D20" s="9">
        <f>支出明細表!D33</f>
        <v>25812613</v>
      </c>
      <c r="E20" s="7">
        <f t="shared" si="0"/>
        <v>-5029887</v>
      </c>
      <c r="F20" s="12">
        <f t="shared" si="1"/>
        <v>-16.30829861392559</v>
      </c>
      <c r="J20" s="6"/>
    </row>
    <row r="21" spans="1:10" ht="30" customHeight="1">
      <c r="A21" s="168">
        <f>A6-A13</f>
        <v>40889421</v>
      </c>
      <c r="B21" s="4" t="s">
        <v>117</v>
      </c>
      <c r="C21" s="9">
        <f>C6-C13</f>
        <v>-33503907</v>
      </c>
      <c r="D21" s="149">
        <f>D6-D13</f>
        <v>27223072</v>
      </c>
      <c r="E21" s="7">
        <f t="shared" si="0"/>
        <v>60726979</v>
      </c>
      <c r="F21" s="12">
        <f t="shared" si="1"/>
        <v>-181.25342516023579</v>
      </c>
      <c r="J21" s="6"/>
    </row>
    <row r="22" spans="1:10" ht="30" customHeight="1">
      <c r="A22" s="169"/>
      <c r="B22" s="4" t="s">
        <v>118</v>
      </c>
      <c r="C22" s="7"/>
      <c r="D22" s="7"/>
      <c r="E22" s="7">
        <f t="shared" si="0"/>
        <v>0</v>
      </c>
      <c r="F22" s="12" t="e">
        <f t="shared" si="1"/>
        <v>#DIV/0!</v>
      </c>
      <c r="J22" s="6"/>
    </row>
    <row r="23" spans="1:10" ht="39.950000000000003" customHeight="1">
      <c r="A23" s="170">
        <v>-70825815</v>
      </c>
      <c r="B23" s="5" t="s">
        <v>119</v>
      </c>
      <c r="C23" s="134">
        <v>0</v>
      </c>
      <c r="D23" s="134">
        <f>平衡表!D41</f>
        <v>4878914</v>
      </c>
      <c r="E23" s="7">
        <f t="shared" si="0"/>
        <v>4878914</v>
      </c>
      <c r="F23" s="12" t="e">
        <f t="shared" si="1"/>
        <v>#DIV/0!</v>
      </c>
      <c r="J23" s="6"/>
    </row>
    <row r="24" spans="1:10" ht="30" customHeight="1">
      <c r="A24" s="170">
        <v>-70825815</v>
      </c>
      <c r="B24" s="4" t="s">
        <v>120</v>
      </c>
      <c r="C24" s="134">
        <v>0</v>
      </c>
      <c r="D24" s="134">
        <f>平衡表!D42</f>
        <v>4878914</v>
      </c>
      <c r="E24" s="7">
        <f t="shared" si="0"/>
        <v>4878914</v>
      </c>
      <c r="F24" s="12" t="e">
        <f t="shared" si="1"/>
        <v>#DIV/0!</v>
      </c>
      <c r="J24" s="6"/>
    </row>
    <row r="25" spans="1:10" ht="30" customHeight="1" thickBot="1">
      <c r="A25" s="171">
        <f t="shared" ref="A25" si="2">A21+A24</f>
        <v>-29936394</v>
      </c>
      <c r="B25" s="49" t="s">
        <v>121</v>
      </c>
      <c r="C25" s="15">
        <f t="shared" ref="C25" si="3">C21+C24</f>
        <v>-33503907</v>
      </c>
      <c r="D25" s="15">
        <f t="shared" ref="D25" si="4">D21+D24</f>
        <v>32101986</v>
      </c>
      <c r="E25" s="15">
        <f t="shared" si="0"/>
        <v>65605893</v>
      </c>
      <c r="F25" s="16">
        <f t="shared" si="1"/>
        <v>-195.81564920174833</v>
      </c>
      <c r="J25" s="6"/>
    </row>
    <row r="26" spans="1:10">
      <c r="J26" s="6"/>
    </row>
    <row r="27" spans="1:10">
      <c r="J27" s="6"/>
    </row>
    <row r="28" spans="1:10">
      <c r="J28" s="6"/>
    </row>
    <row r="29" spans="1:10">
      <c r="J29" s="6"/>
    </row>
    <row r="30" spans="1:10">
      <c r="J30" s="6"/>
    </row>
    <row r="31" spans="1:10">
      <c r="J31" s="6"/>
    </row>
    <row r="32" spans="1:10">
      <c r="J32" s="6"/>
    </row>
    <row r="33" spans="10:10">
      <c r="J33" s="6"/>
    </row>
    <row r="34" spans="10:10">
      <c r="J34" s="6"/>
    </row>
    <row r="35" spans="10:10">
      <c r="J35" s="6"/>
    </row>
    <row r="36" spans="10:10">
      <c r="J36" s="6"/>
    </row>
  </sheetData>
  <sheetProtection algorithmName="SHA-512" hashValue="LMXebucVG/XKN5Q2qZ9AsFfn5Fb6exd1m17x1SB0HsfvUZCf6hvgmafkRxiohJ8ISsYXS56uzPyU1XoUIvR63w==" saltValue="bZ6kIR3lRVrv8qUGZBpxHQ==" spinCount="100000" sheet="1" objects="1" scenarios="1"/>
  <mergeCells count="8">
    <mergeCell ref="A1:F1"/>
    <mergeCell ref="E4:F4"/>
    <mergeCell ref="A4:A5"/>
    <mergeCell ref="B4:B5"/>
    <mergeCell ref="C4:C5"/>
    <mergeCell ref="D4:D5"/>
    <mergeCell ref="A2:F2"/>
    <mergeCell ref="A3:F3"/>
  </mergeCells>
  <phoneticPr fontId="1" type="noConversion"/>
  <pageMargins left="0" right="0" top="0.55118110236220474" bottom="0.55118110236220474" header="0.31496062992125984" footer="0.31496062992125984"/>
  <pageSetup paperSize="9" orientation="portrait" r:id="rId1"/>
  <headerFooter>
    <oddHeader>&amp;R&amp;"標楷體,標準"
全&amp;N頁第&amp;P頁
單位：新臺幣元</oddHeader>
    <oddFooter>&amp;C～   　   ～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4"/>
  <sheetViews>
    <sheetView zoomScaleNormal="100" workbookViewId="0">
      <selection activeCell="C9" sqref="C9"/>
    </sheetView>
  </sheetViews>
  <sheetFormatPr defaultColWidth="8.75" defaultRowHeight="16.5"/>
  <cols>
    <col min="1" max="1" width="2.375" style="3" customWidth="1"/>
    <col min="2" max="2" width="42.75" style="3" customWidth="1"/>
    <col min="3" max="3" width="18.25" style="3" customWidth="1"/>
    <col min="4" max="4" width="18.75" style="3" customWidth="1"/>
    <col min="5" max="16384" width="8.75" style="3"/>
  </cols>
  <sheetData>
    <row r="1" spans="1:8" ht="19.5" customHeight="1">
      <c r="A1" s="194" t="s">
        <v>186</v>
      </c>
      <c r="B1" s="194"/>
      <c r="C1" s="194"/>
      <c r="D1" s="194"/>
    </row>
    <row r="2" spans="1:8" ht="19.5" customHeight="1">
      <c r="A2" s="219" t="s">
        <v>283</v>
      </c>
      <c r="B2" s="219"/>
      <c r="C2" s="219"/>
      <c r="D2" s="219"/>
    </row>
    <row r="3" spans="1:8" ht="19.5" customHeight="1" thickBot="1">
      <c r="A3" s="207" t="s">
        <v>288</v>
      </c>
      <c r="B3" s="207"/>
      <c r="C3" s="207"/>
      <c r="D3" s="207"/>
    </row>
    <row r="4" spans="1:8" ht="21.6" customHeight="1">
      <c r="A4" s="217" t="s">
        <v>284</v>
      </c>
      <c r="B4" s="218"/>
      <c r="C4" s="162" t="s">
        <v>94</v>
      </c>
      <c r="D4" s="75" t="s">
        <v>95</v>
      </c>
      <c r="H4" s="61"/>
    </row>
    <row r="5" spans="1:8" s="22" customFormat="1" ht="24" customHeight="1">
      <c r="A5" s="85" t="s">
        <v>96</v>
      </c>
      <c r="B5" s="86"/>
      <c r="C5" s="87"/>
      <c r="D5" s="88" t="s">
        <v>97</v>
      </c>
    </row>
    <row r="6" spans="1:8" s="22" customFormat="1" ht="24" customHeight="1">
      <c r="A6" s="93"/>
      <c r="B6" s="89" t="s">
        <v>237</v>
      </c>
      <c r="C6" s="90">
        <v>27263332</v>
      </c>
      <c r="D6" s="91">
        <f>收支餘絀表!A21</f>
        <v>40889421</v>
      </c>
    </row>
    <row r="7" spans="1:8" s="22" customFormat="1" ht="24" customHeight="1">
      <c r="A7" s="93"/>
      <c r="B7" s="89" t="s">
        <v>238</v>
      </c>
      <c r="C7" s="94">
        <v>-27727017</v>
      </c>
      <c r="D7" s="95">
        <v>-25749028</v>
      </c>
    </row>
    <row r="8" spans="1:8" s="22" customFormat="1" ht="24" customHeight="1">
      <c r="A8" s="93"/>
      <c r="B8" s="89" t="s">
        <v>239</v>
      </c>
      <c r="C8" s="90">
        <f>SUM(C6:C7)</f>
        <v>-463685</v>
      </c>
      <c r="D8" s="91">
        <f>SUM(D6:D7)</f>
        <v>15140393</v>
      </c>
    </row>
    <row r="9" spans="1:8" s="22" customFormat="1" ht="24" customHeight="1">
      <c r="A9" s="93"/>
      <c r="B9" s="89" t="s">
        <v>240</v>
      </c>
      <c r="C9" s="90"/>
      <c r="D9" s="91"/>
    </row>
    <row r="10" spans="1:8" s="22" customFormat="1" ht="24" customHeight="1">
      <c r="A10" s="93"/>
      <c r="B10" s="89" t="s">
        <v>241</v>
      </c>
      <c r="C10" s="90">
        <v>7986901</v>
      </c>
      <c r="D10" s="91">
        <v>24069752</v>
      </c>
      <c r="G10" s="92"/>
    </row>
    <row r="11" spans="1:8" s="22" customFormat="1" ht="24" customHeight="1">
      <c r="A11" s="93"/>
      <c r="B11" s="89" t="s">
        <v>242</v>
      </c>
      <c r="C11" s="90">
        <v>-41486998</v>
      </c>
      <c r="D11" s="91">
        <v>-83659108</v>
      </c>
      <c r="G11" s="92"/>
    </row>
    <row r="12" spans="1:8" s="22" customFormat="1" ht="24" customHeight="1">
      <c r="A12" s="93"/>
      <c r="B12" s="89" t="s">
        <v>243</v>
      </c>
      <c r="C12" s="90">
        <v>-14909845</v>
      </c>
      <c r="D12" s="91">
        <v>4583332</v>
      </c>
    </row>
    <row r="13" spans="1:8" s="22" customFormat="1" ht="24" customHeight="1">
      <c r="A13" s="93"/>
      <c r="B13" s="89" t="s">
        <v>244</v>
      </c>
      <c r="C13" s="94">
        <v>-1433054</v>
      </c>
      <c r="D13" s="95">
        <v>1246001</v>
      </c>
    </row>
    <row r="14" spans="1:8" s="22" customFormat="1" ht="24" customHeight="1">
      <c r="A14" s="163" t="s">
        <v>245</v>
      </c>
      <c r="B14" s="89"/>
      <c r="C14" s="90">
        <f>SUM(C8:C13)</f>
        <v>-50306681</v>
      </c>
      <c r="D14" s="91">
        <f>SUM(D8:D13)</f>
        <v>-38619630</v>
      </c>
    </row>
    <row r="15" spans="1:8" s="22" customFormat="1" ht="24" customHeight="1">
      <c r="A15" s="163" t="s">
        <v>246</v>
      </c>
      <c r="B15" s="89"/>
      <c r="C15" s="90">
        <v>13019777</v>
      </c>
      <c r="D15" s="91">
        <v>17394858</v>
      </c>
    </row>
    <row r="16" spans="1:8" s="22" customFormat="1" ht="24" customHeight="1">
      <c r="A16" s="163" t="s">
        <v>247</v>
      </c>
      <c r="B16" s="89"/>
      <c r="C16" s="94">
        <v>16772908</v>
      </c>
      <c r="D16" s="95">
        <v>8516460</v>
      </c>
    </row>
    <row r="17" spans="1:4" s="22" customFormat="1" ht="24" customHeight="1">
      <c r="A17" s="215" t="s">
        <v>248</v>
      </c>
      <c r="B17" s="216"/>
      <c r="C17" s="94">
        <f>SUM(C14:C16)</f>
        <v>-20513996</v>
      </c>
      <c r="D17" s="95">
        <f>SUM(D14:D16)</f>
        <v>-12708312</v>
      </c>
    </row>
    <row r="18" spans="1:4" ht="24" customHeight="1">
      <c r="A18" s="81" t="s">
        <v>116</v>
      </c>
      <c r="B18" s="82"/>
      <c r="C18" s="73"/>
      <c r="D18" s="77"/>
    </row>
    <row r="19" spans="1:4" ht="24" customHeight="1">
      <c r="A19" s="41"/>
      <c r="B19" s="83" t="s">
        <v>250</v>
      </c>
      <c r="C19" s="73">
        <v>330938601</v>
      </c>
      <c r="D19" s="77">
        <v>113835747</v>
      </c>
    </row>
    <row r="20" spans="1:4" ht="24" customHeight="1">
      <c r="A20" s="41"/>
      <c r="B20" s="83" t="s">
        <v>251</v>
      </c>
      <c r="C20" s="73">
        <v>20100</v>
      </c>
      <c r="D20" s="77">
        <v>0</v>
      </c>
    </row>
    <row r="21" spans="1:4" ht="24" customHeight="1">
      <c r="A21" s="41"/>
      <c r="B21" s="83" t="s">
        <v>252</v>
      </c>
      <c r="C21" s="73">
        <v>0</v>
      </c>
      <c r="D21" s="77">
        <v>230000000</v>
      </c>
    </row>
    <row r="22" spans="1:4" ht="24" customHeight="1">
      <c r="A22" s="41"/>
      <c r="B22" s="83" t="s">
        <v>273</v>
      </c>
      <c r="C22" s="73">
        <v>-307566039</v>
      </c>
      <c r="D22" s="77">
        <v>-352668837</v>
      </c>
    </row>
    <row r="23" spans="1:4" ht="24" customHeight="1">
      <c r="A23" s="41"/>
      <c r="B23" s="83" t="s">
        <v>253</v>
      </c>
      <c r="C23" s="73">
        <v>-14065212</v>
      </c>
      <c r="D23" s="77">
        <v>-13788718</v>
      </c>
    </row>
    <row r="24" spans="1:4" ht="24" customHeight="1">
      <c r="A24" s="41"/>
      <c r="B24" s="83" t="s">
        <v>312</v>
      </c>
      <c r="C24" s="74">
        <v>-89400</v>
      </c>
      <c r="D24" s="96">
        <v>0</v>
      </c>
    </row>
    <row r="25" spans="1:4" ht="24" customHeight="1">
      <c r="A25" s="215" t="s">
        <v>249</v>
      </c>
      <c r="B25" s="216"/>
      <c r="C25" s="74">
        <f>SUM(C19:C24)</f>
        <v>9238050</v>
      </c>
      <c r="D25" s="96">
        <f>SUM(D19:D24)</f>
        <v>-22621808</v>
      </c>
    </row>
    <row r="26" spans="1:4" ht="24" customHeight="1">
      <c r="A26" s="81" t="s">
        <v>236</v>
      </c>
      <c r="B26" s="83"/>
      <c r="C26" s="73"/>
      <c r="D26" s="77"/>
    </row>
    <row r="27" spans="1:4" ht="24" customHeight="1">
      <c r="A27" s="41"/>
      <c r="B27" s="83" t="s">
        <v>254</v>
      </c>
      <c r="C27" s="73">
        <v>79414392</v>
      </c>
      <c r="D27" s="77">
        <v>79929705</v>
      </c>
    </row>
    <row r="28" spans="1:4" ht="24" customHeight="1">
      <c r="A28" s="41"/>
      <c r="B28" s="83" t="s">
        <v>255</v>
      </c>
      <c r="C28" s="73">
        <v>1511597</v>
      </c>
      <c r="D28" s="77">
        <v>497092</v>
      </c>
    </row>
    <row r="29" spans="1:4" ht="24" customHeight="1">
      <c r="A29" s="41"/>
      <c r="B29" s="83" t="s">
        <v>256</v>
      </c>
      <c r="C29" s="73">
        <v>-73268710</v>
      </c>
      <c r="D29" s="77">
        <v>-80178762</v>
      </c>
    </row>
    <row r="30" spans="1:4" ht="24" customHeight="1">
      <c r="A30" s="41"/>
      <c r="B30" s="83" t="s">
        <v>257</v>
      </c>
      <c r="C30" s="74">
        <v>-960218</v>
      </c>
      <c r="D30" s="96">
        <v>-581593</v>
      </c>
    </row>
    <row r="31" spans="1:4" ht="24" customHeight="1">
      <c r="A31" s="215" t="s">
        <v>258</v>
      </c>
      <c r="B31" s="216"/>
      <c r="C31" s="74">
        <f>SUM(C27:C30)</f>
        <v>6697061</v>
      </c>
      <c r="D31" s="96">
        <f>SUM(D27:D30)</f>
        <v>-333558</v>
      </c>
    </row>
    <row r="32" spans="1:4" ht="24" customHeight="1">
      <c r="A32" s="76" t="s">
        <v>108</v>
      </c>
      <c r="B32" s="83"/>
      <c r="C32" s="73">
        <v>-4578885</v>
      </c>
      <c r="D32" s="77">
        <f>D17+D25+D31</f>
        <v>-35663678</v>
      </c>
    </row>
    <row r="33" spans="1:4" ht="24" customHeight="1">
      <c r="A33" s="76" t="s">
        <v>98</v>
      </c>
      <c r="B33" s="83"/>
      <c r="C33" s="74">
        <v>1718928556</v>
      </c>
      <c r="D33" s="96">
        <v>1754592234</v>
      </c>
    </row>
    <row r="34" spans="1:4" ht="24" customHeight="1" thickBot="1">
      <c r="A34" s="78" t="s">
        <v>99</v>
      </c>
      <c r="B34" s="84"/>
      <c r="C34" s="79">
        <f>C32+C33</f>
        <v>1714349671</v>
      </c>
      <c r="D34" s="80">
        <f>D32+D33</f>
        <v>1718928556</v>
      </c>
    </row>
  </sheetData>
  <sheetProtection algorithmName="SHA-512" hashValue="rg3o9fuaPumvMjGdBKeh3XDHZodtXdA869/yPZArtAGInWPb3l0q/DTj3xiGhQ4k+x9XEH7z9bkDxORwOIClkg==" saltValue="S7DXQjneSDftflH35yV5DA==" spinCount="100000" sheet="1" objects="1" scenarios="1"/>
  <mergeCells count="7">
    <mergeCell ref="A31:B31"/>
    <mergeCell ref="A1:D1"/>
    <mergeCell ref="A17:B17"/>
    <mergeCell ref="A25:B25"/>
    <mergeCell ref="A4:B4"/>
    <mergeCell ref="A2:D2"/>
    <mergeCell ref="A3:D3"/>
  </mergeCells>
  <phoneticPr fontId="1" type="noConversion"/>
  <pageMargins left="1.1023622047244095" right="0.70866141732283472" top="0.55118110236220474" bottom="0.55118110236220474" header="0.31496062992125984" footer="0.31496062992125984"/>
  <pageSetup paperSize="9" orientation="portrait" r:id="rId1"/>
  <headerFooter>
    <oddHeader>&amp;R
&amp;"標楷體,標準"全&amp;N頁第&amp;P頁
單位:新臺幣元</oddHeader>
    <oddFooter>&amp;C～　　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0"/>
  <sheetViews>
    <sheetView zoomScaleNormal="100" workbookViewId="0">
      <selection activeCell="C11" sqref="C11"/>
    </sheetView>
  </sheetViews>
  <sheetFormatPr defaultColWidth="8.75" defaultRowHeight="16.5"/>
  <cols>
    <col min="1" max="1" width="1.5" style="3" customWidth="1"/>
    <col min="2" max="2" width="43.5" style="3" customWidth="1"/>
    <col min="3" max="3" width="14.75" style="3" bestFit="1" customWidth="1"/>
    <col min="4" max="4" width="10.875" style="3" bestFit="1" customWidth="1"/>
    <col min="5" max="5" width="14.75" style="3" bestFit="1" customWidth="1"/>
    <col min="6" max="6" width="13.875" style="3" customWidth="1"/>
    <col min="7" max="16384" width="8.75" style="3"/>
  </cols>
  <sheetData>
    <row r="1" spans="1:6">
      <c r="A1" s="194" t="s">
        <v>188</v>
      </c>
      <c r="B1" s="194"/>
      <c r="C1" s="194"/>
      <c r="D1" s="194"/>
      <c r="E1" s="194"/>
      <c r="F1" s="194"/>
    </row>
    <row r="2" spans="1:6">
      <c r="A2" s="194" t="s">
        <v>282</v>
      </c>
      <c r="B2" s="194"/>
      <c r="C2" s="194"/>
      <c r="D2" s="194"/>
      <c r="E2" s="194"/>
      <c r="F2" s="194"/>
    </row>
    <row r="3" spans="1:6" ht="17.25" thickBot="1">
      <c r="A3" s="207" t="s">
        <v>290</v>
      </c>
      <c r="B3" s="207"/>
      <c r="C3" s="207"/>
      <c r="D3" s="207"/>
      <c r="E3" s="207"/>
      <c r="F3" s="207"/>
    </row>
    <row r="4" spans="1:6" ht="33">
      <c r="A4" s="220" t="s">
        <v>208</v>
      </c>
      <c r="B4" s="221"/>
      <c r="C4" s="156" t="s">
        <v>87</v>
      </c>
      <c r="D4" s="102" t="s">
        <v>88</v>
      </c>
      <c r="E4" s="105" t="s">
        <v>89</v>
      </c>
      <c r="F4" s="68" t="s">
        <v>90</v>
      </c>
    </row>
    <row r="5" spans="1:6" ht="18.600000000000001" customHeight="1">
      <c r="A5" s="62" t="s">
        <v>206</v>
      </c>
      <c r="B5" s="63"/>
      <c r="C5" s="69"/>
      <c r="D5" s="103"/>
      <c r="E5" s="106"/>
      <c r="F5" s="71"/>
    </row>
    <row r="6" spans="1:6" ht="18.600000000000001" customHeight="1">
      <c r="A6" s="27"/>
      <c r="B6" s="64" t="s">
        <v>209</v>
      </c>
      <c r="C6" s="69">
        <v>49999508</v>
      </c>
      <c r="D6" s="103">
        <f>C6/$C$15*100</f>
        <v>32.576473845684781</v>
      </c>
      <c r="E6" s="106">
        <v>55275432</v>
      </c>
      <c r="F6" s="71">
        <f>E6/$E$15*100</f>
        <v>34.252916514672798</v>
      </c>
    </row>
    <row r="7" spans="1:6" ht="18.600000000000001" customHeight="1">
      <c r="A7" s="27"/>
      <c r="B7" s="64" t="s">
        <v>210</v>
      </c>
      <c r="C7" s="69">
        <v>38317139</v>
      </c>
      <c r="D7" s="103">
        <f>C7/$C$15*100</f>
        <v>24.964991185012625</v>
      </c>
      <c r="E7" s="106">
        <v>41374092</v>
      </c>
      <c r="F7" s="71">
        <f>E7/$E$15*100</f>
        <v>25.638575183752373</v>
      </c>
    </row>
    <row r="8" spans="1:6" ht="18.600000000000001" customHeight="1">
      <c r="A8" s="27"/>
      <c r="B8" s="65" t="s">
        <v>207</v>
      </c>
      <c r="C8" s="69">
        <v>7508311</v>
      </c>
      <c r="D8" s="103">
        <f t="shared" ref="D8:D15" si="0">C8/$C$15*100</f>
        <v>4.8919340749666445</v>
      </c>
      <c r="E8" s="106">
        <v>7206526</v>
      </c>
      <c r="F8" s="71">
        <f>E8/$E$15*100</f>
        <v>4.4657187561884433</v>
      </c>
    </row>
    <row r="9" spans="1:6" ht="18.600000000000001" customHeight="1">
      <c r="A9" s="27"/>
      <c r="B9" s="64" t="s">
        <v>211</v>
      </c>
      <c r="C9" s="69">
        <v>19533470</v>
      </c>
      <c r="D9" s="103">
        <f t="shared" si="0"/>
        <v>12.726756722695518</v>
      </c>
      <c r="E9" s="106">
        <v>23092723</v>
      </c>
      <c r="F9" s="71">
        <f>E9/$E$15*100</f>
        <v>14.310030413067858</v>
      </c>
    </row>
    <row r="10" spans="1:6" ht="18.600000000000001" customHeight="1">
      <c r="A10" s="27"/>
      <c r="B10" s="64" t="s">
        <v>212</v>
      </c>
      <c r="C10" s="69">
        <v>69114207</v>
      </c>
      <c r="D10" s="103">
        <f>C10/$C$15*100</f>
        <v>45.030386233015413</v>
      </c>
      <c r="E10" s="106">
        <v>104208136</v>
      </c>
      <c r="F10" s="71">
        <f>E10/$E$15*100-0.01</f>
        <v>64.565390067646476</v>
      </c>
    </row>
    <row r="11" spans="1:6" ht="18.600000000000001" customHeight="1">
      <c r="A11" s="27"/>
      <c r="B11" s="64" t="s">
        <v>213</v>
      </c>
      <c r="C11" s="69">
        <v>15382553</v>
      </c>
      <c r="D11" s="103">
        <f t="shared" si="0"/>
        <v>10.022285328974837</v>
      </c>
      <c r="E11" s="106">
        <v>12168272</v>
      </c>
      <c r="F11" s="71">
        <f>E11/$E$15*100</f>
        <v>7.5403988691364834</v>
      </c>
    </row>
    <row r="12" spans="1:6" ht="18.600000000000001" customHeight="1">
      <c r="A12" s="27"/>
      <c r="B12" s="64" t="s">
        <v>214</v>
      </c>
      <c r="C12" s="125">
        <v>-41486998</v>
      </c>
      <c r="D12" s="103">
        <f t="shared" si="0"/>
        <v>-27.030268083497479</v>
      </c>
      <c r="E12" s="106">
        <v>-83659108</v>
      </c>
      <c r="F12" s="71">
        <f>E12/$E$15*100</f>
        <v>-51.841629062546183</v>
      </c>
    </row>
    <row r="13" spans="1:6" ht="18.600000000000001" customHeight="1">
      <c r="A13" s="27"/>
      <c r="B13" s="64" t="s">
        <v>215</v>
      </c>
      <c r="C13" s="125">
        <v>-6950371</v>
      </c>
      <c r="D13" s="103">
        <f t="shared" si="0"/>
        <v>-4.5284161416009532</v>
      </c>
      <c r="E13" s="106">
        <v>1546018</v>
      </c>
      <c r="F13" s="71">
        <f>E13/$E$15*100</f>
        <v>0.95803187000295909</v>
      </c>
    </row>
    <row r="14" spans="1:6" ht="18.600000000000001" customHeight="1">
      <c r="A14" s="27"/>
      <c r="B14" s="64" t="s">
        <v>216</v>
      </c>
      <c r="C14" s="125">
        <v>2065668</v>
      </c>
      <c r="D14" s="103">
        <f t="shared" si="0"/>
        <v>1.3458568347486137</v>
      </c>
      <c r="E14" s="106">
        <v>162290</v>
      </c>
      <c r="F14" s="71">
        <f>E14/$E$15*100</f>
        <v>0.10056738807878061</v>
      </c>
    </row>
    <row r="15" spans="1:6" ht="18.600000000000001" customHeight="1">
      <c r="A15" s="27"/>
      <c r="B15" s="64" t="s">
        <v>217</v>
      </c>
      <c r="C15" s="7">
        <f>SUM(C6:C14)</f>
        <v>153483487</v>
      </c>
      <c r="D15" s="147">
        <f t="shared" si="0"/>
        <v>100</v>
      </c>
      <c r="E15" s="145">
        <f>SUM(E6:E14)</f>
        <v>161374381</v>
      </c>
      <c r="F15" s="110">
        <f t="shared" ref="F15" si="1">E15/$E$15*100</f>
        <v>100</v>
      </c>
    </row>
    <row r="16" spans="1:6" ht="18.600000000000001" customHeight="1">
      <c r="A16" s="62" t="s">
        <v>218</v>
      </c>
      <c r="B16" s="63"/>
      <c r="C16" s="69"/>
      <c r="D16" s="103"/>
      <c r="E16" s="106"/>
      <c r="F16" s="71"/>
    </row>
    <row r="17" spans="1:6" ht="18.600000000000001" customHeight="1">
      <c r="A17" s="27"/>
      <c r="B17" s="64" t="s">
        <v>219</v>
      </c>
      <c r="C17" s="69">
        <v>1988902</v>
      </c>
      <c r="D17" s="103">
        <f>SUM(C17/$C$15*100)</f>
        <v>1.2958410307683459</v>
      </c>
      <c r="E17" s="106">
        <v>2044056</v>
      </c>
      <c r="F17" s="71">
        <f>SUM(E17/$E$15*100)</f>
        <v>1.2666545875085338</v>
      </c>
    </row>
    <row r="18" spans="1:6" ht="18.600000000000001" customHeight="1">
      <c r="A18" s="27"/>
      <c r="B18" s="64" t="s">
        <v>220</v>
      </c>
      <c r="C18" s="69">
        <v>23199822</v>
      </c>
      <c r="D18" s="103">
        <f t="shared" ref="D18:D25" si="2">SUM(C18/$C$15*100)</f>
        <v>15.115516628834474</v>
      </c>
      <c r="E18" s="106">
        <v>31737950</v>
      </c>
      <c r="F18" s="71">
        <f t="shared" ref="F18:F25" si="3">SUM(E18/$E$15*100)</f>
        <v>19.667279157526249</v>
      </c>
    </row>
    <row r="19" spans="1:6" ht="18.600000000000001" customHeight="1">
      <c r="A19" s="27"/>
      <c r="B19" s="64" t="s">
        <v>221</v>
      </c>
      <c r="C19" s="69">
        <v>74769344</v>
      </c>
      <c r="D19" s="103">
        <f t="shared" si="2"/>
        <v>48.714910940223817</v>
      </c>
      <c r="E19" s="106">
        <v>90505663</v>
      </c>
      <c r="F19" s="71">
        <f t="shared" si="3"/>
        <v>56.084282052180271</v>
      </c>
    </row>
    <row r="20" spans="1:6" ht="18.600000000000001" customHeight="1">
      <c r="A20" s="27"/>
      <c r="B20" s="64" t="s">
        <v>222</v>
      </c>
      <c r="C20" s="69">
        <v>1011000</v>
      </c>
      <c r="D20" s="103">
        <f t="shared" si="2"/>
        <v>0.65870278279512895</v>
      </c>
      <c r="E20" s="106">
        <v>886180</v>
      </c>
      <c r="F20" s="71">
        <f t="shared" si="3"/>
        <v>0.54914540617199947</v>
      </c>
    </row>
    <row r="21" spans="1:6" ht="18.600000000000001" customHeight="1">
      <c r="A21" s="27"/>
      <c r="B21" s="64" t="s">
        <v>223</v>
      </c>
      <c r="C21" s="69">
        <v>40539873</v>
      </c>
      <c r="D21" s="103">
        <f t="shared" si="2"/>
        <v>26.413182155550064</v>
      </c>
      <c r="E21" s="106">
        <v>44305250</v>
      </c>
      <c r="F21" s="71">
        <f t="shared" si="3"/>
        <v>27.454946519670926</v>
      </c>
    </row>
    <row r="22" spans="1:6" ht="18.600000000000001" customHeight="1">
      <c r="A22" s="27"/>
      <c r="B22" s="64" t="s">
        <v>224</v>
      </c>
      <c r="C22" s="69">
        <v>5270302</v>
      </c>
      <c r="D22" s="103">
        <f t="shared" si="2"/>
        <v>3.433790893739598</v>
      </c>
      <c r="E22" s="106">
        <v>4269317</v>
      </c>
      <c r="F22" s="71">
        <f t="shared" si="3"/>
        <v>2.6455977544539739</v>
      </c>
    </row>
    <row r="23" spans="1:6" ht="18.600000000000001" customHeight="1">
      <c r="A23" s="27"/>
      <c r="B23" s="64" t="s">
        <v>225</v>
      </c>
      <c r="C23" s="69">
        <v>25812613</v>
      </c>
      <c r="D23" s="103">
        <f t="shared" si="2"/>
        <v>16.817843733247994</v>
      </c>
      <c r="E23" s="106">
        <v>28687344</v>
      </c>
      <c r="F23" s="71">
        <f t="shared" si="3"/>
        <v>17.776888637608469</v>
      </c>
    </row>
    <row r="24" spans="1:6" ht="18.600000000000001" customHeight="1">
      <c r="A24" s="27"/>
      <c r="B24" s="64" t="s">
        <v>226</v>
      </c>
      <c r="C24" s="125">
        <v>-7986901</v>
      </c>
      <c r="D24" s="103">
        <f t="shared" si="2"/>
        <v>-5.2037526356174073</v>
      </c>
      <c r="E24" s="106">
        <v>-24069752</v>
      </c>
      <c r="F24" s="71">
        <f t="shared" si="3"/>
        <v>-14.915472859350581</v>
      </c>
    </row>
    <row r="25" spans="1:6" ht="18.600000000000001" customHeight="1">
      <c r="A25" s="27"/>
      <c r="B25" s="64" t="s">
        <v>227</v>
      </c>
      <c r="C25" s="125">
        <v>9392528</v>
      </c>
      <c r="D25" s="103">
        <f t="shared" si="2"/>
        <v>6.1195690712969011</v>
      </c>
      <c r="E25" s="106">
        <v>-4283315</v>
      </c>
      <c r="F25" s="71">
        <f t="shared" si="3"/>
        <v>-2.654271993768329</v>
      </c>
    </row>
    <row r="26" spans="1:6" ht="18.600000000000001" customHeight="1">
      <c r="A26" s="27"/>
      <c r="B26" s="64" t="s">
        <v>229</v>
      </c>
      <c r="C26" s="126">
        <v>0</v>
      </c>
      <c r="D26" s="97">
        <v>0</v>
      </c>
      <c r="E26" s="107">
        <v>0</v>
      </c>
      <c r="F26" s="98">
        <v>0</v>
      </c>
    </row>
    <row r="27" spans="1:6" ht="18.600000000000001" customHeight="1">
      <c r="A27" s="27"/>
      <c r="B27" s="64" t="s">
        <v>228</v>
      </c>
      <c r="C27" s="146">
        <f>SUM(C17:C26)</f>
        <v>173997483</v>
      </c>
      <c r="D27" s="147">
        <f>SUM(C27/C15*100)</f>
        <v>113.36560460083891</v>
      </c>
      <c r="E27" s="145">
        <f>SUM(E17:E26)</f>
        <v>174082693</v>
      </c>
      <c r="F27" s="110">
        <f>SUM(E27/E15*100)</f>
        <v>107.87504926200151</v>
      </c>
    </row>
    <row r="28" spans="1:6" ht="18.600000000000001" customHeight="1">
      <c r="A28" s="62" t="s">
        <v>91</v>
      </c>
      <c r="B28" s="63"/>
      <c r="C28" s="146">
        <f>C15-C27</f>
        <v>-20513996</v>
      </c>
      <c r="D28" s="147">
        <f>SUM(C28/$C$15*100)</f>
        <v>-13.365604600838916</v>
      </c>
      <c r="E28" s="145">
        <f>E15-E27</f>
        <v>-12708312</v>
      </c>
      <c r="F28" s="110">
        <f>SUM(E28/$E$15*100)</f>
        <v>-7.8750492620015073</v>
      </c>
    </row>
    <row r="29" spans="1:6" ht="18.600000000000001" customHeight="1">
      <c r="A29" s="62" t="s">
        <v>259</v>
      </c>
      <c r="B29" s="63"/>
      <c r="C29" s="128">
        <v>0</v>
      </c>
      <c r="D29" s="147">
        <f>SUM(C29/$C$15*100)</f>
        <v>0</v>
      </c>
      <c r="E29" s="145">
        <v>113835747</v>
      </c>
      <c r="F29" s="110">
        <f>SUM(E29/$E$15*100)</f>
        <v>70.541399628978283</v>
      </c>
    </row>
    <row r="30" spans="1:6" ht="18.600000000000001" customHeight="1">
      <c r="A30" s="62" t="s">
        <v>109</v>
      </c>
      <c r="B30" s="63"/>
      <c r="C30" s="69"/>
      <c r="D30" s="103"/>
      <c r="E30" s="106"/>
      <c r="F30" s="71"/>
    </row>
    <row r="31" spans="1:6" ht="18.600000000000001" customHeight="1">
      <c r="A31" s="27"/>
      <c r="B31" s="64" t="s">
        <v>230</v>
      </c>
      <c r="C31" s="125">
        <v>9531525</v>
      </c>
      <c r="D31" s="103">
        <f>C31/$C$15*100</f>
        <v>6.2101306051249665</v>
      </c>
      <c r="E31" s="106">
        <v>6773479</v>
      </c>
      <c r="F31" s="71">
        <f t="shared" ref="F31" si="4">SUM(E31/$E$15*100)</f>
        <v>4.197369469692962</v>
      </c>
    </row>
    <row r="32" spans="1:6" ht="18.600000000000001" customHeight="1">
      <c r="A32" s="27"/>
      <c r="B32" s="64" t="s">
        <v>231</v>
      </c>
      <c r="C32" s="125">
        <v>45431</v>
      </c>
      <c r="D32" s="103">
        <f>C32/$C$15*100</f>
        <v>2.9599926928947085E-2</v>
      </c>
      <c r="E32" s="106">
        <v>11859</v>
      </c>
      <c r="F32" s="71">
        <f>SUM(E32/$E$15*100)-0.01</f>
        <v>-2.6512498907741745E-3</v>
      </c>
    </row>
    <row r="33" spans="1:6" ht="18.600000000000001" customHeight="1">
      <c r="A33" s="27"/>
      <c r="B33" s="64" t="s">
        <v>232</v>
      </c>
      <c r="C33" s="125">
        <v>221507</v>
      </c>
      <c r="D33" s="103">
        <f>C33/$C$15*100</f>
        <v>0.14431975994915988</v>
      </c>
      <c r="E33" s="165">
        <v>2950751</v>
      </c>
      <c r="F33" s="71">
        <f>E33/$E$15*100</f>
        <v>1.8285126683150532</v>
      </c>
    </row>
    <row r="34" spans="1:6" ht="18.600000000000001" customHeight="1">
      <c r="A34" s="27"/>
      <c r="B34" s="64" t="s">
        <v>313</v>
      </c>
      <c r="C34" s="127">
        <v>89400</v>
      </c>
      <c r="D34" s="157">
        <f>C34/$C$15*100</f>
        <v>5.8247308389598948E-2</v>
      </c>
      <c r="E34" s="99">
        <v>0</v>
      </c>
      <c r="F34" s="100">
        <f>E34/$E$15*100</f>
        <v>0</v>
      </c>
    </row>
    <row r="35" spans="1:6" ht="18.600000000000001" customHeight="1">
      <c r="A35" s="27"/>
      <c r="B35" s="64" t="s">
        <v>233</v>
      </c>
      <c r="C35" s="128">
        <f>SUM(C31:C34)</f>
        <v>9887863</v>
      </c>
      <c r="D35" s="147">
        <f>C35/C15*100</f>
        <v>6.4422976003926724</v>
      </c>
      <c r="E35" s="99">
        <f>SUM(E31:E34)</f>
        <v>9736089</v>
      </c>
      <c r="F35" s="100">
        <f>E35/E15*100</f>
        <v>6.0332308881172407</v>
      </c>
    </row>
    <row r="36" spans="1:6" ht="18.600000000000001" customHeight="1">
      <c r="A36" s="62" t="s">
        <v>110</v>
      </c>
      <c r="B36" s="63"/>
      <c r="C36" s="128">
        <f>C28+C29-C35</f>
        <v>-30401859</v>
      </c>
      <c r="D36" s="147">
        <f>C36/$C$15*100</f>
        <v>-19.807902201231588</v>
      </c>
      <c r="E36" s="158">
        <f>E28+E29-E35</f>
        <v>91391346</v>
      </c>
      <c r="F36" s="110">
        <f>E36/$E$15*100</f>
        <v>56.633119478859541</v>
      </c>
    </row>
    <row r="37" spans="1:6" ht="18.600000000000001" customHeight="1">
      <c r="A37" s="62" t="s">
        <v>92</v>
      </c>
      <c r="B37" s="63"/>
      <c r="C37" s="69"/>
      <c r="D37" s="103"/>
      <c r="E37" s="106"/>
      <c r="F37" s="71"/>
    </row>
    <row r="38" spans="1:6" ht="18.600000000000001" customHeight="1">
      <c r="A38" s="62"/>
      <c r="B38" s="64" t="s">
        <v>234</v>
      </c>
      <c r="C38" s="101">
        <v>4266749</v>
      </c>
      <c r="D38" s="157">
        <f>C38/$C$15*100</f>
        <v>2.7799400987026051</v>
      </c>
      <c r="E38" s="108">
        <v>4052629</v>
      </c>
      <c r="F38" s="71">
        <f t="shared" ref="F38:F40" si="5">SUM(E38/$E$15*100)</f>
        <v>2.5113211743318784</v>
      </c>
    </row>
    <row r="39" spans="1:6" ht="18.600000000000001" customHeight="1">
      <c r="A39" s="62"/>
      <c r="B39" s="64" t="s">
        <v>235</v>
      </c>
      <c r="C39" s="101">
        <f>C38</f>
        <v>4266749</v>
      </c>
      <c r="D39" s="148">
        <f t="shared" ref="D39:F39" si="6">D38</f>
        <v>2.7799400987026051</v>
      </c>
      <c r="E39" s="129">
        <f t="shared" si="6"/>
        <v>4052629</v>
      </c>
      <c r="F39" s="110">
        <f t="shared" si="6"/>
        <v>2.5113211743318784</v>
      </c>
    </row>
    <row r="40" spans="1:6" ht="18.600000000000001" customHeight="1" thickBot="1">
      <c r="A40" s="66" t="s">
        <v>93</v>
      </c>
      <c r="B40" s="67"/>
      <c r="C40" s="70">
        <f>C36-C39</f>
        <v>-34668608</v>
      </c>
      <c r="D40" s="104">
        <f>C40/C15*100</f>
        <v>-22.587842299934195</v>
      </c>
      <c r="E40" s="109">
        <f>E36-E39</f>
        <v>87338717</v>
      </c>
      <c r="F40" s="72">
        <f t="shared" si="5"/>
        <v>54.121798304527658</v>
      </c>
    </row>
  </sheetData>
  <sheetProtection algorithmName="SHA-512" hashValue="y5Hn1mz39vdrdAaNz9V3tjpzuWibF4TVPiyMUtXVRCFVfMlnr/6ahHRYrburwo9oC3m//QZ5X9ATl0PDz4ZmfA==" saltValue="w/RppyBdtcIfx9kBN/8tZQ==" spinCount="100000" sheet="1" objects="1" scenarios="1"/>
  <mergeCells count="4">
    <mergeCell ref="A1:F1"/>
    <mergeCell ref="A4:B4"/>
    <mergeCell ref="A2:F2"/>
    <mergeCell ref="A3:F3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1"/>
  <headerFooter>
    <oddHeader>&amp;R
&amp;"標楷體,標準"全&amp;N頁第&amp;P頁
單位：新臺幣元</oddHeader>
    <oddFooter>&amp;C～　 　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3" sqref="D13"/>
    </sheetView>
  </sheetViews>
  <sheetFormatPr defaultColWidth="8.75" defaultRowHeight="16.5"/>
  <cols>
    <col min="1" max="1" width="2.125" style="3" customWidth="1"/>
    <col min="2" max="2" width="21.75" style="3" customWidth="1"/>
    <col min="3" max="3" width="13.375" style="3" bestFit="1" customWidth="1"/>
    <col min="4" max="5" width="13" style="3" bestFit="1" customWidth="1"/>
    <col min="6" max="6" width="13.375" style="3" customWidth="1"/>
    <col min="7" max="7" width="14.25" style="3" bestFit="1" customWidth="1"/>
    <col min="8" max="8" width="14.25" style="3" customWidth="1"/>
    <col min="9" max="16384" width="8.75" style="3"/>
  </cols>
  <sheetData>
    <row r="1" spans="1:8" ht="17.100000000000001" customHeight="1">
      <c r="A1" s="224" t="s">
        <v>187</v>
      </c>
      <c r="B1" s="224"/>
      <c r="C1" s="224"/>
      <c r="D1" s="224"/>
      <c r="E1" s="224"/>
      <c r="F1" s="224"/>
      <c r="G1" s="224"/>
      <c r="H1" s="224"/>
    </row>
    <row r="2" spans="1:8">
      <c r="A2" s="194" t="s">
        <v>278</v>
      </c>
      <c r="B2" s="194"/>
      <c r="C2" s="194"/>
      <c r="D2" s="194"/>
      <c r="E2" s="194"/>
      <c r="F2" s="194"/>
      <c r="G2" s="194"/>
      <c r="H2" s="194"/>
    </row>
    <row r="3" spans="1:8" ht="17.25" thickBot="1">
      <c r="A3" s="229" t="s">
        <v>289</v>
      </c>
      <c r="B3" s="229"/>
      <c r="C3" s="229"/>
      <c r="D3" s="229"/>
      <c r="E3" s="229"/>
      <c r="F3" s="229"/>
      <c r="G3" s="229"/>
      <c r="H3" s="229"/>
    </row>
    <row r="4" spans="1:8" ht="33.6" customHeight="1">
      <c r="A4" s="227" t="s">
        <v>46</v>
      </c>
      <c r="B4" s="228"/>
      <c r="C4" s="159" t="s">
        <v>178</v>
      </c>
      <c r="D4" s="159" t="s">
        <v>179</v>
      </c>
      <c r="E4" s="159" t="s">
        <v>181</v>
      </c>
      <c r="F4" s="159" t="s">
        <v>180</v>
      </c>
      <c r="G4" s="160" t="s">
        <v>182</v>
      </c>
      <c r="H4" s="161" t="s">
        <v>47</v>
      </c>
    </row>
    <row r="5" spans="1:8">
      <c r="A5" s="174" t="s">
        <v>6</v>
      </c>
      <c r="B5" s="175"/>
      <c r="C5" s="172">
        <f>C6+C7+C54+C60+C77</f>
        <v>333940779</v>
      </c>
      <c r="D5" s="172">
        <f>D6+D7+D54+D60+D77</f>
        <v>14154612</v>
      </c>
      <c r="E5" s="172">
        <f>E6+E7+E54+E60+E77</f>
        <v>10455734</v>
      </c>
      <c r="F5" s="172">
        <f>F6+F7+F54+F60+F77</f>
        <v>10470578</v>
      </c>
      <c r="G5" s="172">
        <f>G6+G7+G54+G60+G77</f>
        <v>10455734</v>
      </c>
      <c r="H5" s="173">
        <f>H6+H7+H54+H60</f>
        <v>337624813</v>
      </c>
    </row>
    <row r="6" spans="1:8">
      <c r="A6" s="225" t="s">
        <v>126</v>
      </c>
      <c r="B6" s="226"/>
      <c r="C6" s="172">
        <v>193590216</v>
      </c>
      <c r="D6" s="172">
        <f>[1]資本門!$B$4</f>
        <v>4266749</v>
      </c>
      <c r="E6" s="172">
        <v>0</v>
      </c>
      <c r="F6" s="172">
        <v>0</v>
      </c>
      <c r="G6" s="172">
        <v>0</v>
      </c>
      <c r="H6" s="173">
        <f>C6+D6+E6-F6-G6</f>
        <v>197856965</v>
      </c>
    </row>
    <row r="7" spans="1:8">
      <c r="A7" s="182" t="s">
        <v>127</v>
      </c>
      <c r="B7" s="180"/>
      <c r="C7" s="172">
        <v>115189250</v>
      </c>
      <c r="D7" s="172">
        <f>D8+D25</f>
        <v>9620925</v>
      </c>
      <c r="E7" s="172">
        <f>E8+E25</f>
        <v>10348668</v>
      </c>
      <c r="F7" s="172">
        <f>F8+F25</f>
        <v>7165444</v>
      </c>
      <c r="G7" s="172">
        <f>G8+G25</f>
        <v>10348668</v>
      </c>
      <c r="H7" s="173">
        <f>H8+H25</f>
        <v>117644731</v>
      </c>
    </row>
    <row r="8" spans="1:8">
      <c r="A8" s="183" t="s">
        <v>128</v>
      </c>
      <c r="B8" s="181"/>
      <c r="C8" s="118">
        <v>53204418</v>
      </c>
      <c r="D8" s="118">
        <f>SUM(D9:D24)</f>
        <v>5682234</v>
      </c>
      <c r="E8" s="118">
        <f>SUM(E9:E24)</f>
        <v>2792750</v>
      </c>
      <c r="F8" s="118">
        <f>SUM(F9:F24)</f>
        <v>5028667</v>
      </c>
      <c r="G8" s="118">
        <f>SUM(G9:G24)</f>
        <v>2792750</v>
      </c>
      <c r="H8" s="119">
        <f>C8+D8+E8-F8-G8</f>
        <v>53857985</v>
      </c>
    </row>
    <row r="9" spans="1:8">
      <c r="A9" s="124"/>
      <c r="B9" s="123" t="s">
        <v>129</v>
      </c>
      <c r="C9" s="118">
        <v>2474330</v>
      </c>
      <c r="D9" s="118">
        <v>0</v>
      </c>
      <c r="E9" s="118"/>
      <c r="F9" s="118">
        <v>0</v>
      </c>
      <c r="G9" s="118">
        <v>2474330</v>
      </c>
      <c r="H9" s="119">
        <f t="shared" ref="H9:H73" si="0">C9+D9+E9-F9-G9</f>
        <v>0</v>
      </c>
    </row>
    <row r="10" spans="1:8">
      <c r="A10" s="124"/>
      <c r="B10" s="123" t="s">
        <v>131</v>
      </c>
      <c r="C10" s="118">
        <v>12108318</v>
      </c>
      <c r="D10" s="118">
        <f>[1]資本門!$G$7</f>
        <v>1857678</v>
      </c>
      <c r="E10" s="118"/>
      <c r="F10" s="118">
        <v>4139399</v>
      </c>
      <c r="G10" s="118">
        <v>75000</v>
      </c>
      <c r="H10" s="119">
        <f t="shared" si="0"/>
        <v>9751597</v>
      </c>
    </row>
    <row r="11" spans="1:8">
      <c r="A11" s="124"/>
      <c r="B11" s="123" t="s">
        <v>132</v>
      </c>
      <c r="C11" s="118">
        <v>2277412</v>
      </c>
      <c r="D11" s="118">
        <f>[1]資本門!$G$8</f>
        <v>101000</v>
      </c>
      <c r="E11" s="118"/>
      <c r="F11" s="118">
        <v>0</v>
      </c>
      <c r="G11" s="118"/>
      <c r="H11" s="119">
        <f>C11+D11+E11-F11-G11</f>
        <v>2378412</v>
      </c>
    </row>
    <row r="12" spans="1:8">
      <c r="A12" s="124"/>
      <c r="B12" s="123" t="s">
        <v>133</v>
      </c>
      <c r="C12" s="118">
        <v>2978283</v>
      </c>
      <c r="D12" s="118">
        <f>[1]資本門!$G$9</f>
        <v>400000</v>
      </c>
      <c r="E12" s="118"/>
      <c r="F12" s="118"/>
      <c r="G12" s="118">
        <v>4800</v>
      </c>
      <c r="H12" s="119">
        <f t="shared" si="0"/>
        <v>3373483</v>
      </c>
    </row>
    <row r="13" spans="1:8">
      <c r="A13" s="124"/>
      <c r="B13" s="123" t="s">
        <v>134</v>
      </c>
      <c r="C13" s="118">
        <v>6621510</v>
      </c>
      <c r="D13" s="118">
        <f>[1]資本門!$G$10</f>
        <v>1009456</v>
      </c>
      <c r="E13" s="118">
        <v>105525</v>
      </c>
      <c r="F13" s="118">
        <v>51000</v>
      </c>
      <c r="G13" s="118"/>
      <c r="H13" s="119">
        <f t="shared" si="0"/>
        <v>7685491</v>
      </c>
    </row>
    <row r="14" spans="1:8">
      <c r="A14" s="124"/>
      <c r="B14" s="123" t="s">
        <v>135</v>
      </c>
      <c r="C14" s="118">
        <v>5001117</v>
      </c>
      <c r="D14" s="118">
        <v>0</v>
      </c>
      <c r="E14" s="118"/>
      <c r="F14" s="118"/>
      <c r="G14" s="118"/>
      <c r="H14" s="119">
        <f t="shared" si="0"/>
        <v>5001117</v>
      </c>
    </row>
    <row r="15" spans="1:8">
      <c r="A15" s="124"/>
      <c r="B15" s="123" t="s">
        <v>136</v>
      </c>
      <c r="C15" s="118">
        <v>202400</v>
      </c>
      <c r="D15" s="118">
        <v>0</v>
      </c>
      <c r="E15" s="118"/>
      <c r="F15" s="118"/>
      <c r="G15" s="118"/>
      <c r="H15" s="119">
        <f t="shared" si="0"/>
        <v>202400</v>
      </c>
    </row>
    <row r="16" spans="1:8">
      <c r="A16" s="124"/>
      <c r="B16" s="123" t="s">
        <v>137</v>
      </c>
      <c r="C16" s="118">
        <v>13010857</v>
      </c>
      <c r="D16" s="118">
        <f>[1]資本門!$G$11</f>
        <v>550000</v>
      </c>
      <c r="E16" s="118"/>
      <c r="F16" s="118">
        <v>672403</v>
      </c>
      <c r="G16" s="118"/>
      <c r="H16" s="119">
        <f t="shared" si="0"/>
        <v>12888454</v>
      </c>
    </row>
    <row r="17" spans="1:8">
      <c r="A17" s="124"/>
      <c r="B17" s="123" t="s">
        <v>138</v>
      </c>
      <c r="C17" s="118">
        <v>4252360</v>
      </c>
      <c r="D17" s="118">
        <f>[1]資本門!$G$12</f>
        <v>1178200</v>
      </c>
      <c r="E17" s="118">
        <v>97868</v>
      </c>
      <c r="F17" s="118">
        <v>70940</v>
      </c>
      <c r="G17" s="118"/>
      <c r="H17" s="119">
        <f t="shared" si="0"/>
        <v>5457488</v>
      </c>
    </row>
    <row r="18" spans="1:8">
      <c r="A18" s="124"/>
      <c r="B18" s="123" t="s">
        <v>139</v>
      </c>
      <c r="C18" s="118">
        <v>227988</v>
      </c>
      <c r="D18" s="118">
        <v>0</v>
      </c>
      <c r="E18" s="118"/>
      <c r="F18" s="118"/>
      <c r="G18" s="118"/>
      <c r="H18" s="119">
        <f t="shared" si="0"/>
        <v>227988</v>
      </c>
    </row>
    <row r="19" spans="1:8">
      <c r="A19" s="124"/>
      <c r="B19" s="123" t="s">
        <v>140</v>
      </c>
      <c r="C19" s="118">
        <v>3324738</v>
      </c>
      <c r="D19" s="118">
        <f>[1]資本門!$G$13</f>
        <v>566000</v>
      </c>
      <c r="E19" s="118"/>
      <c r="F19" s="118">
        <v>69725</v>
      </c>
      <c r="G19" s="118"/>
      <c r="H19" s="119">
        <f t="shared" si="0"/>
        <v>3821013</v>
      </c>
    </row>
    <row r="20" spans="1:8">
      <c r="A20" s="124"/>
      <c r="B20" s="123" t="s">
        <v>141</v>
      </c>
      <c r="C20" s="118">
        <v>313594</v>
      </c>
      <c r="D20" s="118">
        <f>[1]資本門!$G$14</f>
        <v>19900</v>
      </c>
      <c r="E20" s="118"/>
      <c r="F20" s="118">
        <v>25200</v>
      </c>
      <c r="G20" s="118">
        <v>140752</v>
      </c>
      <c r="H20" s="119">
        <f t="shared" si="0"/>
        <v>167542</v>
      </c>
    </row>
    <row r="21" spans="1:8">
      <c r="A21" s="124"/>
      <c r="B21" s="123" t="s">
        <v>142</v>
      </c>
      <c r="C21" s="118">
        <v>143982</v>
      </c>
      <c r="D21" s="118"/>
      <c r="E21" s="118"/>
      <c r="F21" s="118"/>
      <c r="G21" s="118">
        <v>97868</v>
      </c>
      <c r="H21" s="119">
        <f t="shared" si="0"/>
        <v>46114</v>
      </c>
    </row>
    <row r="22" spans="1:8">
      <c r="A22" s="124"/>
      <c r="B22" s="123" t="s">
        <v>143</v>
      </c>
      <c r="C22" s="118">
        <v>267529</v>
      </c>
      <c r="D22" s="118"/>
      <c r="E22" s="118"/>
      <c r="F22" s="118"/>
      <c r="G22" s="118"/>
      <c r="H22" s="119">
        <f t="shared" si="0"/>
        <v>267529</v>
      </c>
    </row>
    <row r="23" spans="1:8">
      <c r="A23" s="124"/>
      <c r="B23" s="123" t="s">
        <v>302</v>
      </c>
      <c r="C23" s="118">
        <v>0</v>
      </c>
      <c r="D23" s="118"/>
      <c r="E23" s="118">
        <v>2568728</v>
      </c>
      <c r="F23" s="118"/>
      <c r="G23" s="118"/>
      <c r="H23" s="119">
        <f t="shared" si="0"/>
        <v>2568728</v>
      </c>
    </row>
    <row r="24" spans="1:8">
      <c r="A24" s="124"/>
      <c r="B24" s="123" t="s">
        <v>303</v>
      </c>
      <c r="C24" s="118">
        <v>0</v>
      </c>
      <c r="D24" s="118"/>
      <c r="E24" s="118">
        <v>20629</v>
      </c>
      <c r="F24" s="118"/>
      <c r="G24" s="118"/>
      <c r="H24" s="119">
        <f t="shared" si="0"/>
        <v>20629</v>
      </c>
    </row>
    <row r="25" spans="1:8">
      <c r="A25" s="122" t="s">
        <v>144</v>
      </c>
      <c r="B25" s="123"/>
      <c r="C25" s="118">
        <v>61984832</v>
      </c>
      <c r="D25" s="118">
        <f>SUM(D26:D53)</f>
        <v>3938691</v>
      </c>
      <c r="E25" s="118">
        <f>SUM(E26:E53)</f>
        <v>7555918</v>
      </c>
      <c r="F25" s="118">
        <f>SUM(F26:F52)</f>
        <v>2136777</v>
      </c>
      <c r="G25" s="118">
        <f>SUM(G26:G53)</f>
        <v>7555918</v>
      </c>
      <c r="H25" s="119">
        <f>C25+D25+E25-F25-G25</f>
        <v>63786746</v>
      </c>
    </row>
    <row r="26" spans="1:8">
      <c r="A26" s="124" t="s">
        <v>145</v>
      </c>
      <c r="B26" s="123" t="s">
        <v>129</v>
      </c>
      <c r="C26" s="118">
        <v>132073</v>
      </c>
      <c r="D26" s="118">
        <v>0</v>
      </c>
      <c r="E26" s="118"/>
      <c r="F26" s="118">
        <v>10500</v>
      </c>
      <c r="G26" s="118">
        <v>121573</v>
      </c>
      <c r="H26" s="119">
        <f t="shared" si="0"/>
        <v>0</v>
      </c>
    </row>
    <row r="27" spans="1:8">
      <c r="A27" s="124" t="s">
        <v>130</v>
      </c>
      <c r="B27" s="123" t="s">
        <v>131</v>
      </c>
      <c r="C27" s="118">
        <v>544820</v>
      </c>
      <c r="D27" s="118">
        <f>[1]資本門!$G$18</f>
        <v>864799</v>
      </c>
      <c r="E27" s="118"/>
      <c r="F27" s="118"/>
      <c r="G27" s="118">
        <v>286052</v>
      </c>
      <c r="H27" s="119">
        <f>C27+D27+E27-F27-G27</f>
        <v>1123567</v>
      </c>
    </row>
    <row r="28" spans="1:8">
      <c r="A28" s="124" t="s">
        <v>146</v>
      </c>
      <c r="B28" s="123" t="s">
        <v>147</v>
      </c>
      <c r="C28" s="118">
        <v>986210</v>
      </c>
      <c r="D28" s="118">
        <f>[1]資本門!$G$19</f>
        <v>72000</v>
      </c>
      <c r="E28" s="118"/>
      <c r="F28" s="118"/>
      <c r="G28" s="118"/>
      <c r="H28" s="119">
        <f>C28+D28+E28-F28-G28</f>
        <v>1058210</v>
      </c>
    </row>
    <row r="29" spans="1:8">
      <c r="A29" s="124" t="s">
        <v>130</v>
      </c>
      <c r="B29" s="123" t="s">
        <v>133</v>
      </c>
      <c r="C29" s="118">
        <v>2807822</v>
      </c>
      <c r="D29" s="118">
        <v>0</v>
      </c>
      <c r="E29" s="118"/>
      <c r="F29" s="118"/>
      <c r="G29" s="118">
        <v>1222503</v>
      </c>
      <c r="H29" s="119">
        <f t="shared" si="0"/>
        <v>1585319</v>
      </c>
    </row>
    <row r="30" spans="1:8">
      <c r="A30" s="124" t="s">
        <v>130</v>
      </c>
      <c r="B30" s="123" t="s">
        <v>134</v>
      </c>
      <c r="C30" s="118">
        <v>2387280</v>
      </c>
      <c r="D30" s="118">
        <v>0</v>
      </c>
      <c r="E30" s="118"/>
      <c r="F30" s="118">
        <v>2900</v>
      </c>
      <c r="G30" s="118">
        <v>292786</v>
      </c>
      <c r="H30" s="119">
        <f t="shared" si="0"/>
        <v>2091594</v>
      </c>
    </row>
    <row r="31" spans="1:8">
      <c r="A31" s="124" t="s">
        <v>130</v>
      </c>
      <c r="B31" s="123" t="s">
        <v>143</v>
      </c>
      <c r="C31" s="118">
        <v>9066264</v>
      </c>
      <c r="D31" s="118">
        <f>[1]資本門!$G$20</f>
        <v>634075</v>
      </c>
      <c r="E31" s="118">
        <v>29617</v>
      </c>
      <c r="F31" s="118"/>
      <c r="G31" s="118">
        <v>87300</v>
      </c>
      <c r="H31" s="119">
        <f t="shared" si="0"/>
        <v>9642656</v>
      </c>
    </row>
    <row r="32" spans="1:8">
      <c r="A32" s="124" t="s">
        <v>130</v>
      </c>
      <c r="B32" s="123" t="s">
        <v>135</v>
      </c>
      <c r="C32" s="118">
        <v>9820</v>
      </c>
      <c r="D32" s="118">
        <v>0</v>
      </c>
      <c r="E32" s="118">
        <v>0</v>
      </c>
      <c r="F32" s="118"/>
      <c r="G32" s="118">
        <v>0</v>
      </c>
      <c r="H32" s="119">
        <f t="shared" si="0"/>
        <v>9820</v>
      </c>
    </row>
    <row r="33" spans="1:8">
      <c r="A33" s="124" t="s">
        <v>130</v>
      </c>
      <c r="B33" s="123" t="s">
        <v>137</v>
      </c>
      <c r="C33" s="118">
        <v>9091323</v>
      </c>
      <c r="D33" s="118">
        <v>0</v>
      </c>
      <c r="E33" s="118">
        <v>38217</v>
      </c>
      <c r="F33" s="118">
        <v>7000</v>
      </c>
      <c r="G33" s="118">
        <v>47390</v>
      </c>
      <c r="H33" s="119">
        <f t="shared" si="0"/>
        <v>9075150</v>
      </c>
    </row>
    <row r="34" spans="1:8">
      <c r="A34" s="124" t="s">
        <v>130</v>
      </c>
      <c r="B34" s="123" t="s">
        <v>138</v>
      </c>
      <c r="C34" s="118">
        <v>638640</v>
      </c>
      <c r="D34" s="118">
        <v>0</v>
      </c>
      <c r="E34" s="118">
        <v>29617</v>
      </c>
      <c r="F34" s="118"/>
      <c r="G34" s="118">
        <v>10020</v>
      </c>
      <c r="H34" s="119">
        <f t="shared" si="0"/>
        <v>658237</v>
      </c>
    </row>
    <row r="35" spans="1:8">
      <c r="A35" s="124" t="s">
        <v>130</v>
      </c>
      <c r="B35" s="123" t="s">
        <v>139</v>
      </c>
      <c r="C35" s="118">
        <v>5165165</v>
      </c>
      <c r="D35" s="118">
        <f>[1]資本門!$G$21</f>
        <v>459000</v>
      </c>
      <c r="E35" s="118">
        <v>84984</v>
      </c>
      <c r="F35" s="118">
        <f>151754+38400</f>
        <v>190154</v>
      </c>
      <c r="G35" s="118">
        <v>85000</v>
      </c>
      <c r="H35" s="119">
        <f t="shared" si="0"/>
        <v>5433995</v>
      </c>
    </row>
    <row r="36" spans="1:8">
      <c r="A36" s="124" t="s">
        <v>48</v>
      </c>
      <c r="B36" s="123" t="s">
        <v>148</v>
      </c>
      <c r="C36" s="118">
        <v>1821525</v>
      </c>
      <c r="D36" s="118">
        <f>[1]資本門!$G$22</f>
        <v>40979</v>
      </c>
      <c r="E36" s="118">
        <v>59794</v>
      </c>
      <c r="F36" s="118">
        <v>57429</v>
      </c>
      <c r="G36" s="118">
        <v>109985</v>
      </c>
      <c r="H36" s="119">
        <f t="shared" si="0"/>
        <v>1754884</v>
      </c>
    </row>
    <row r="37" spans="1:8">
      <c r="A37" s="124" t="s">
        <v>51</v>
      </c>
      <c r="B37" s="123" t="s">
        <v>149</v>
      </c>
      <c r="C37" s="118">
        <v>10622845</v>
      </c>
      <c r="D37" s="118">
        <f>[1]資本門!$G$23</f>
        <v>1034546</v>
      </c>
      <c r="E37" s="118">
        <v>3451795</v>
      </c>
      <c r="F37" s="118">
        <v>86809</v>
      </c>
      <c r="G37" s="118">
        <v>948780</v>
      </c>
      <c r="H37" s="119">
        <f t="shared" si="0"/>
        <v>14073597</v>
      </c>
    </row>
    <row r="38" spans="1:8">
      <c r="A38" s="124" t="s">
        <v>52</v>
      </c>
      <c r="B38" s="123" t="s">
        <v>150</v>
      </c>
      <c r="C38" s="118">
        <v>52386</v>
      </c>
      <c r="D38" s="118">
        <v>0</v>
      </c>
      <c r="E38" s="118"/>
      <c r="F38" s="118"/>
      <c r="G38" s="118">
        <v>44660</v>
      </c>
      <c r="H38" s="119">
        <f t="shared" si="0"/>
        <v>7726</v>
      </c>
    </row>
    <row r="39" spans="1:8">
      <c r="A39" s="124" t="s">
        <v>53</v>
      </c>
      <c r="B39" s="123" t="s">
        <v>151</v>
      </c>
      <c r="C39" s="118">
        <v>3805807</v>
      </c>
      <c r="D39" s="118">
        <f>[1]資本門!$G$24</f>
        <v>94921</v>
      </c>
      <c r="E39" s="118">
        <v>491286</v>
      </c>
      <c r="F39" s="118">
        <v>162443</v>
      </c>
      <c r="G39" s="118">
        <v>288100</v>
      </c>
      <c r="H39" s="119">
        <f t="shared" si="0"/>
        <v>3941471</v>
      </c>
    </row>
    <row r="40" spans="1:8">
      <c r="A40" s="124" t="s">
        <v>54</v>
      </c>
      <c r="B40" s="123" t="s">
        <v>152</v>
      </c>
      <c r="C40" s="118">
        <v>393402</v>
      </c>
      <c r="D40" s="118">
        <v>0</v>
      </c>
      <c r="E40" s="118"/>
      <c r="F40" s="118"/>
      <c r="G40" s="118">
        <v>15100</v>
      </c>
      <c r="H40" s="119">
        <f t="shared" si="0"/>
        <v>378302</v>
      </c>
    </row>
    <row r="41" spans="1:8">
      <c r="A41" s="124" t="s">
        <v>55</v>
      </c>
      <c r="B41" s="123" t="s">
        <v>308</v>
      </c>
      <c r="C41" s="118">
        <v>1573337</v>
      </c>
      <c r="D41" s="118">
        <v>0</v>
      </c>
      <c r="E41" s="118"/>
      <c r="F41" s="118">
        <v>18800</v>
      </c>
      <c r="G41" s="118"/>
      <c r="H41" s="119">
        <f t="shared" si="0"/>
        <v>1554537</v>
      </c>
    </row>
    <row r="42" spans="1:8">
      <c r="A42" s="124" t="s">
        <v>56</v>
      </c>
      <c r="B42" s="123" t="s">
        <v>153</v>
      </c>
      <c r="C42" s="118">
        <v>192305</v>
      </c>
      <c r="D42" s="118">
        <v>0</v>
      </c>
      <c r="E42" s="118">
        <v>9900</v>
      </c>
      <c r="F42" s="118"/>
      <c r="G42" s="118">
        <v>23934</v>
      </c>
      <c r="H42" s="119">
        <f t="shared" si="0"/>
        <v>178271</v>
      </c>
    </row>
    <row r="43" spans="1:8">
      <c r="A43" s="124" t="s">
        <v>57</v>
      </c>
      <c r="B43" s="123" t="s">
        <v>154</v>
      </c>
      <c r="C43" s="118">
        <v>4386189</v>
      </c>
      <c r="D43" s="118">
        <v>0</v>
      </c>
      <c r="E43" s="118"/>
      <c r="F43" s="118">
        <v>1134750</v>
      </c>
      <c r="G43" s="118">
        <v>3251439</v>
      </c>
      <c r="H43" s="119">
        <f t="shared" si="0"/>
        <v>0</v>
      </c>
    </row>
    <row r="44" spans="1:8">
      <c r="A44" s="124" t="s">
        <v>58</v>
      </c>
      <c r="B44" s="123" t="s">
        <v>155</v>
      </c>
      <c r="C44" s="118">
        <v>624040</v>
      </c>
      <c r="D44" s="118">
        <v>0</v>
      </c>
      <c r="E44" s="118"/>
      <c r="F44" s="118">
        <v>120014</v>
      </c>
      <c r="G44" s="118">
        <v>504026</v>
      </c>
      <c r="H44" s="119">
        <f t="shared" si="0"/>
        <v>0</v>
      </c>
    </row>
    <row r="45" spans="1:8">
      <c r="A45" s="124" t="s">
        <v>49</v>
      </c>
      <c r="B45" s="123" t="s">
        <v>141</v>
      </c>
      <c r="C45" s="118">
        <v>278193</v>
      </c>
      <c r="D45" s="118">
        <v>0</v>
      </c>
      <c r="E45" s="118"/>
      <c r="F45" s="118">
        <v>11700</v>
      </c>
      <c r="G45" s="118">
        <v>139235</v>
      </c>
      <c r="H45" s="119">
        <f t="shared" si="0"/>
        <v>127258</v>
      </c>
    </row>
    <row r="46" spans="1:8">
      <c r="A46" s="124" t="s">
        <v>50</v>
      </c>
      <c r="B46" s="123" t="s">
        <v>142</v>
      </c>
      <c r="C46" s="118">
        <v>53525</v>
      </c>
      <c r="D46" s="118">
        <v>0</v>
      </c>
      <c r="E46" s="118"/>
      <c r="F46" s="118"/>
      <c r="G46" s="118">
        <v>10725</v>
      </c>
      <c r="H46" s="119">
        <f t="shared" si="0"/>
        <v>42800</v>
      </c>
    </row>
    <row r="47" spans="1:8">
      <c r="A47" s="124" t="s">
        <v>59</v>
      </c>
      <c r="B47" s="123" t="s">
        <v>156</v>
      </c>
      <c r="C47" s="118">
        <v>6478946</v>
      </c>
      <c r="D47" s="118">
        <f>[1]資本門!$G$27</f>
        <v>690425</v>
      </c>
      <c r="E47" s="118"/>
      <c r="F47" s="118">
        <v>334278</v>
      </c>
      <c r="G47" s="118"/>
      <c r="H47" s="119">
        <f>C47+D47+E47-F47-G47</f>
        <v>6835093</v>
      </c>
    </row>
    <row r="48" spans="1:8">
      <c r="A48" s="124" t="s">
        <v>60</v>
      </c>
      <c r="B48" s="123" t="s">
        <v>157</v>
      </c>
      <c r="C48" s="118">
        <v>595560</v>
      </c>
      <c r="D48" s="118">
        <v>0</v>
      </c>
      <c r="E48" s="118">
        <v>2711521</v>
      </c>
      <c r="F48" s="118"/>
      <c r="G48" s="118">
        <v>20629</v>
      </c>
      <c r="H48" s="119">
        <f t="shared" si="0"/>
        <v>3286452</v>
      </c>
    </row>
    <row r="49" spans="1:8">
      <c r="A49" s="124" t="s">
        <v>61</v>
      </c>
      <c r="B49" s="123" t="s">
        <v>158</v>
      </c>
      <c r="C49" s="118">
        <v>64912</v>
      </c>
      <c r="D49" s="118">
        <f>[1]資本門!$G$25</f>
        <v>23973</v>
      </c>
      <c r="E49" s="118">
        <v>10020</v>
      </c>
      <c r="F49" s="118"/>
      <c r="G49" s="118">
        <v>38081</v>
      </c>
      <c r="H49" s="119">
        <f t="shared" si="0"/>
        <v>60824</v>
      </c>
    </row>
    <row r="50" spans="1:8">
      <c r="A50" s="124" t="s">
        <v>62</v>
      </c>
      <c r="B50" s="123" t="s">
        <v>159</v>
      </c>
      <c r="C50" s="118">
        <v>68734</v>
      </c>
      <c r="D50" s="118">
        <f>[1]資本門!$G$26</f>
        <v>23973</v>
      </c>
      <c r="E50" s="118">
        <v>17060</v>
      </c>
      <c r="F50" s="118"/>
      <c r="G50" s="118"/>
      <c r="H50" s="119">
        <f t="shared" si="0"/>
        <v>109767</v>
      </c>
    </row>
    <row r="51" spans="1:8">
      <c r="A51" s="124" t="s">
        <v>63</v>
      </c>
      <c r="B51" s="123" t="s">
        <v>160</v>
      </c>
      <c r="C51" s="118">
        <v>59040</v>
      </c>
      <c r="D51" s="118">
        <v>0</v>
      </c>
      <c r="E51" s="118">
        <v>560</v>
      </c>
      <c r="F51" s="118"/>
      <c r="G51" s="118">
        <v>0</v>
      </c>
      <c r="H51" s="119">
        <f t="shared" si="0"/>
        <v>59600</v>
      </c>
    </row>
    <row r="52" spans="1:8">
      <c r="A52" s="124" t="s">
        <v>64</v>
      </c>
      <c r="B52" s="123" t="s">
        <v>161</v>
      </c>
      <c r="C52" s="118">
        <v>84669</v>
      </c>
      <c r="D52" s="118">
        <v>0</v>
      </c>
      <c r="E52" s="118">
        <v>29560</v>
      </c>
      <c r="F52" s="118"/>
      <c r="G52" s="118">
        <v>8600</v>
      </c>
      <c r="H52" s="119">
        <f t="shared" si="0"/>
        <v>105629</v>
      </c>
    </row>
    <row r="53" spans="1:8">
      <c r="A53" s="124"/>
      <c r="B53" s="123" t="s">
        <v>304</v>
      </c>
      <c r="C53" s="118">
        <v>0</v>
      </c>
      <c r="D53" s="118"/>
      <c r="E53" s="118">
        <v>591987</v>
      </c>
      <c r="F53" s="118"/>
      <c r="G53" s="118">
        <v>0</v>
      </c>
      <c r="H53" s="119">
        <f t="shared" si="0"/>
        <v>591987</v>
      </c>
    </row>
    <row r="54" spans="1:8">
      <c r="A54" s="174" t="s">
        <v>168</v>
      </c>
      <c r="B54" s="175"/>
      <c r="C54" s="172">
        <v>2535397</v>
      </c>
      <c r="D54" s="172">
        <f t="shared" ref="D54:H54" si="1">D55+D59</f>
        <v>45431</v>
      </c>
      <c r="E54" s="172">
        <f t="shared" si="1"/>
        <v>0</v>
      </c>
      <c r="F54" s="172">
        <f t="shared" si="1"/>
        <v>0</v>
      </c>
      <c r="G54" s="172">
        <f t="shared" si="1"/>
        <v>0</v>
      </c>
      <c r="H54" s="173">
        <f t="shared" si="1"/>
        <v>2580828</v>
      </c>
    </row>
    <row r="55" spans="1:8">
      <c r="A55" s="124"/>
      <c r="B55" s="123" t="s">
        <v>162</v>
      </c>
      <c r="C55" s="118">
        <v>2491797</v>
      </c>
      <c r="D55" s="118">
        <f t="shared" ref="D55:G55" si="2">SUM(D56:D58)</f>
        <v>45431</v>
      </c>
      <c r="E55" s="118">
        <f t="shared" si="2"/>
        <v>0</v>
      </c>
      <c r="F55" s="118">
        <f t="shared" si="2"/>
        <v>0</v>
      </c>
      <c r="G55" s="118">
        <f t="shared" si="2"/>
        <v>0</v>
      </c>
      <c r="H55" s="119">
        <f>SUM(H56:H58)</f>
        <v>2537228</v>
      </c>
    </row>
    <row r="56" spans="1:8">
      <c r="A56" s="124"/>
      <c r="B56" s="123" t="s">
        <v>163</v>
      </c>
      <c r="C56" s="118">
        <v>2254157</v>
      </c>
      <c r="D56" s="118">
        <f>[1]資本門!$B$29</f>
        <v>45431</v>
      </c>
      <c r="E56" s="118"/>
      <c r="F56" s="118"/>
      <c r="G56" s="118"/>
      <c r="H56" s="119">
        <f t="shared" si="0"/>
        <v>2299588</v>
      </c>
    </row>
    <row r="57" spans="1:8">
      <c r="A57" s="124"/>
      <c r="B57" s="123" t="s">
        <v>164</v>
      </c>
      <c r="C57" s="118">
        <v>95205</v>
      </c>
      <c r="D57" s="118"/>
      <c r="E57" s="118"/>
      <c r="F57" s="118"/>
      <c r="G57" s="118"/>
      <c r="H57" s="119">
        <f t="shared" si="0"/>
        <v>95205</v>
      </c>
    </row>
    <row r="58" spans="1:8">
      <c r="A58" s="124"/>
      <c r="B58" s="123" t="s">
        <v>165</v>
      </c>
      <c r="C58" s="118">
        <v>142435</v>
      </c>
      <c r="D58" s="118"/>
      <c r="E58" s="118"/>
      <c r="F58" s="118"/>
      <c r="G58" s="118"/>
      <c r="H58" s="119">
        <f t="shared" si="0"/>
        <v>142435</v>
      </c>
    </row>
    <row r="59" spans="1:8">
      <c r="A59" s="124"/>
      <c r="B59" s="123" t="s">
        <v>166</v>
      </c>
      <c r="C59" s="118">
        <v>43600</v>
      </c>
      <c r="D59" s="118"/>
      <c r="E59" s="118"/>
      <c r="F59" s="118"/>
      <c r="G59" s="118"/>
      <c r="H59" s="119">
        <f t="shared" si="0"/>
        <v>43600</v>
      </c>
    </row>
    <row r="60" spans="1:8">
      <c r="A60" s="174" t="s">
        <v>167</v>
      </c>
      <c r="B60" s="175"/>
      <c r="C60" s="172">
        <v>20231639</v>
      </c>
      <c r="D60" s="172">
        <f>SUM(D61:D63)</f>
        <v>221507</v>
      </c>
      <c r="E60" s="172">
        <f>SUM(E61:E63)</f>
        <v>107066</v>
      </c>
      <c r="F60" s="172">
        <f>SUM(F61:F63)</f>
        <v>910857</v>
      </c>
      <c r="G60" s="172">
        <f>SUM(G61:G63)</f>
        <v>107066</v>
      </c>
      <c r="H60" s="173">
        <f>C60+D60+E60-F60-G60</f>
        <v>19542289</v>
      </c>
    </row>
    <row r="61" spans="1:8">
      <c r="A61" s="124"/>
      <c r="B61" s="123" t="s">
        <v>171</v>
      </c>
      <c r="C61" s="118">
        <v>751200</v>
      </c>
      <c r="D61" s="118"/>
      <c r="E61" s="118"/>
      <c r="F61" s="118"/>
      <c r="G61" s="118"/>
      <c r="H61" s="119">
        <f t="shared" si="0"/>
        <v>751200</v>
      </c>
    </row>
    <row r="62" spans="1:8">
      <c r="A62" s="124"/>
      <c r="B62" s="123" t="s">
        <v>172</v>
      </c>
      <c r="C62" s="118">
        <v>225640</v>
      </c>
      <c r="D62" s="118">
        <f>[1]資本門!$G$31</f>
        <v>38000</v>
      </c>
      <c r="E62" s="118"/>
      <c r="F62" s="118"/>
      <c r="G62" s="118"/>
      <c r="H62" s="119">
        <f t="shared" si="0"/>
        <v>263640</v>
      </c>
    </row>
    <row r="63" spans="1:8">
      <c r="A63" s="124"/>
      <c r="B63" s="123" t="s">
        <v>173</v>
      </c>
      <c r="C63" s="118">
        <v>19254799</v>
      </c>
      <c r="D63" s="118">
        <f>SUM(D64:D76)</f>
        <v>183507</v>
      </c>
      <c r="E63" s="118">
        <f>SUM(E64:E76)</f>
        <v>107066</v>
      </c>
      <c r="F63" s="118">
        <f>SUM(F64:F74)</f>
        <v>910857</v>
      </c>
      <c r="G63" s="118">
        <f>SUM(G64:G76)</f>
        <v>107066</v>
      </c>
      <c r="H63" s="119">
        <f t="shared" si="0"/>
        <v>18527449</v>
      </c>
    </row>
    <row r="64" spans="1:8">
      <c r="A64" s="124"/>
      <c r="B64" s="123" t="s">
        <v>291</v>
      </c>
      <c r="C64" s="118">
        <v>44087</v>
      </c>
      <c r="D64" s="118">
        <f>[1]資本門!$G$33</f>
        <v>89775</v>
      </c>
      <c r="E64" s="118"/>
      <c r="F64" s="118"/>
      <c r="G64" s="118"/>
      <c r="H64" s="119">
        <f t="shared" si="0"/>
        <v>133862</v>
      </c>
    </row>
    <row r="65" spans="1:8">
      <c r="A65" s="124"/>
      <c r="B65" s="123" t="s">
        <v>292</v>
      </c>
      <c r="C65" s="118">
        <v>48353</v>
      </c>
      <c r="D65" s="118"/>
      <c r="E65" s="118"/>
      <c r="F65" s="118"/>
      <c r="G65" s="118"/>
      <c r="H65" s="119">
        <f t="shared" si="0"/>
        <v>48353</v>
      </c>
    </row>
    <row r="66" spans="1:8">
      <c r="A66" s="124"/>
      <c r="B66" s="123" t="s">
        <v>293</v>
      </c>
      <c r="C66" s="118">
        <v>16758248</v>
      </c>
      <c r="D66" s="118">
        <f>[1]資本門!$G$32</f>
        <v>48732</v>
      </c>
      <c r="E66" s="118">
        <v>66000</v>
      </c>
      <c r="F66" s="118">
        <v>904582</v>
      </c>
      <c r="G66" s="118">
        <v>105776</v>
      </c>
      <c r="H66" s="119">
        <f t="shared" si="0"/>
        <v>15862622</v>
      </c>
    </row>
    <row r="67" spans="1:8">
      <c r="A67" s="124"/>
      <c r="B67" s="123" t="s">
        <v>294</v>
      </c>
      <c r="C67" s="118">
        <v>139609</v>
      </c>
      <c r="D67" s="118"/>
      <c r="E67" s="118"/>
      <c r="F67" s="118"/>
      <c r="G67" s="118"/>
      <c r="H67" s="119">
        <f t="shared" si="0"/>
        <v>139609</v>
      </c>
    </row>
    <row r="68" spans="1:8">
      <c r="A68" s="124"/>
      <c r="B68" s="123" t="s">
        <v>295</v>
      </c>
      <c r="C68" s="118">
        <v>501717</v>
      </c>
      <c r="D68" s="118"/>
      <c r="E68" s="118"/>
      <c r="F68" s="118">
        <v>2600</v>
      </c>
      <c r="G68" s="118"/>
      <c r="H68" s="119">
        <f>C68+D68+E68-F68-G68</f>
        <v>499117</v>
      </c>
    </row>
    <row r="69" spans="1:8">
      <c r="A69" s="124"/>
      <c r="B69" s="123" t="s">
        <v>296</v>
      </c>
      <c r="C69" s="118">
        <v>154766</v>
      </c>
      <c r="D69" s="118"/>
      <c r="E69" s="118"/>
      <c r="F69" s="118"/>
      <c r="G69" s="118">
        <v>1290</v>
      </c>
      <c r="H69" s="119">
        <f t="shared" si="0"/>
        <v>153476</v>
      </c>
    </row>
    <row r="70" spans="1:8">
      <c r="A70" s="124"/>
      <c r="B70" s="123" t="s">
        <v>297</v>
      </c>
      <c r="C70" s="118">
        <v>244705</v>
      </c>
      <c r="D70" s="118">
        <f>[1]資本門!$G$34</f>
        <v>45000</v>
      </c>
      <c r="E70" s="118"/>
      <c r="F70" s="118">
        <v>3675</v>
      </c>
      <c r="G70" s="118"/>
      <c r="H70" s="119">
        <f t="shared" si="0"/>
        <v>286030</v>
      </c>
    </row>
    <row r="71" spans="1:8">
      <c r="A71" s="124"/>
      <c r="B71" s="123" t="s">
        <v>298</v>
      </c>
      <c r="C71" s="118">
        <v>1125344</v>
      </c>
      <c r="D71" s="118"/>
      <c r="E71" s="118"/>
      <c r="F71" s="118"/>
      <c r="G71" s="118"/>
      <c r="H71" s="119">
        <f t="shared" si="0"/>
        <v>1125344</v>
      </c>
    </row>
    <row r="72" spans="1:8">
      <c r="A72" s="124"/>
      <c r="B72" s="123" t="s">
        <v>299</v>
      </c>
      <c r="C72" s="118">
        <v>81901</v>
      </c>
      <c r="D72" s="118"/>
      <c r="E72" s="118"/>
      <c r="F72" s="118"/>
      <c r="G72" s="118"/>
      <c r="H72" s="119">
        <f t="shared" si="0"/>
        <v>81901</v>
      </c>
    </row>
    <row r="73" spans="1:8">
      <c r="A73" s="124"/>
      <c r="B73" s="123" t="s">
        <v>300</v>
      </c>
      <c r="C73" s="118">
        <v>135165</v>
      </c>
      <c r="D73" s="118"/>
      <c r="E73" s="118"/>
      <c r="F73" s="118"/>
      <c r="G73" s="118"/>
      <c r="H73" s="119">
        <f t="shared" si="0"/>
        <v>135165</v>
      </c>
    </row>
    <row r="74" spans="1:8">
      <c r="A74" s="124"/>
      <c r="B74" s="123" t="s">
        <v>301</v>
      </c>
      <c r="C74" s="118">
        <v>20904</v>
      </c>
      <c r="D74" s="118"/>
      <c r="E74" s="118"/>
      <c r="F74" s="118"/>
      <c r="G74" s="118"/>
      <c r="H74" s="119">
        <f t="shared" ref="H74:H83" si="3">C74+D74+E74-F74-G74</f>
        <v>20904</v>
      </c>
    </row>
    <row r="75" spans="1:8">
      <c r="A75" s="124"/>
      <c r="B75" s="123" t="s">
        <v>306</v>
      </c>
      <c r="C75" s="118">
        <v>0</v>
      </c>
      <c r="D75" s="118"/>
      <c r="E75" s="118">
        <v>1290</v>
      </c>
      <c r="F75" s="118"/>
      <c r="G75" s="118"/>
      <c r="H75" s="119">
        <f t="shared" si="3"/>
        <v>1290</v>
      </c>
    </row>
    <row r="76" spans="1:8">
      <c r="A76" s="124"/>
      <c r="B76" s="123" t="s">
        <v>305</v>
      </c>
      <c r="C76" s="118">
        <v>0</v>
      </c>
      <c r="D76" s="118"/>
      <c r="E76" s="118">
        <v>39776</v>
      </c>
      <c r="F76" s="118"/>
      <c r="G76" s="118"/>
      <c r="H76" s="119">
        <f t="shared" si="3"/>
        <v>39776</v>
      </c>
    </row>
    <row r="77" spans="1:8">
      <c r="A77" s="121" t="s">
        <v>169</v>
      </c>
      <c r="B77" s="120"/>
      <c r="C77" s="118">
        <f>C78</f>
        <v>2394277</v>
      </c>
      <c r="D77" s="118"/>
      <c r="E77" s="118"/>
      <c r="F77" s="118">
        <f>F78</f>
        <v>2394277</v>
      </c>
      <c r="G77" s="118"/>
      <c r="H77" s="119">
        <f t="shared" si="3"/>
        <v>0</v>
      </c>
    </row>
    <row r="78" spans="1:8">
      <c r="A78" s="124"/>
      <c r="B78" s="123" t="s">
        <v>170</v>
      </c>
      <c r="C78" s="118">
        <v>2394277</v>
      </c>
      <c r="D78" s="118"/>
      <c r="E78" s="118"/>
      <c r="F78" s="118">
        <v>2394277</v>
      </c>
      <c r="G78" s="118"/>
      <c r="H78" s="119">
        <f t="shared" si="3"/>
        <v>0</v>
      </c>
    </row>
    <row r="79" spans="1:8">
      <c r="A79" s="176" t="s">
        <v>65</v>
      </c>
      <c r="B79" s="179"/>
      <c r="C79" s="177">
        <f>C80+C83</f>
        <v>113971492</v>
      </c>
      <c r="D79" s="177">
        <f>D80+D83</f>
        <v>2394277</v>
      </c>
      <c r="E79" s="177">
        <f>E80+E83</f>
        <v>0</v>
      </c>
      <c r="F79" s="177">
        <f>F80+F83</f>
        <v>20100</v>
      </c>
      <c r="G79" s="177">
        <f>SUM(G80:G83)</f>
        <v>0</v>
      </c>
      <c r="H79" s="178">
        <f>H80+H83</f>
        <v>116345669</v>
      </c>
    </row>
    <row r="80" spans="1:8">
      <c r="A80" s="222" t="s">
        <v>175</v>
      </c>
      <c r="B80" s="223"/>
      <c r="C80" s="118">
        <f>SUM(C81:C82)</f>
        <v>345100</v>
      </c>
      <c r="D80" s="118">
        <f>SUM(D81:D82)</f>
        <v>0</v>
      </c>
      <c r="E80" s="118">
        <f>SUM(E81:E82)</f>
        <v>0</v>
      </c>
      <c r="F80" s="118">
        <f>SUM(F81:F82)</f>
        <v>20100</v>
      </c>
      <c r="G80" s="118">
        <f>SUM(G81:G82)</f>
        <v>0</v>
      </c>
      <c r="H80" s="119">
        <f t="shared" si="3"/>
        <v>325000</v>
      </c>
    </row>
    <row r="81" spans="1:8">
      <c r="A81" s="124"/>
      <c r="B81" s="123" t="s">
        <v>176</v>
      </c>
      <c r="C81" s="118">
        <v>45100</v>
      </c>
      <c r="D81" s="118"/>
      <c r="E81" s="118"/>
      <c r="F81" s="118">
        <v>20100</v>
      </c>
      <c r="G81" s="118"/>
      <c r="H81" s="119">
        <f t="shared" si="3"/>
        <v>25000</v>
      </c>
    </row>
    <row r="82" spans="1:8">
      <c r="A82" s="124"/>
      <c r="B82" s="123" t="s">
        <v>177</v>
      </c>
      <c r="C82" s="118">
        <v>300000</v>
      </c>
      <c r="D82" s="118"/>
      <c r="E82" s="118"/>
      <c r="F82" s="118"/>
      <c r="G82" s="118"/>
      <c r="H82" s="119">
        <f t="shared" si="3"/>
        <v>300000</v>
      </c>
    </row>
    <row r="83" spans="1:8">
      <c r="A83" s="222" t="s">
        <v>309</v>
      </c>
      <c r="B83" s="223"/>
      <c r="C83" s="118">
        <v>113626392</v>
      </c>
      <c r="D83" s="118">
        <v>2394277</v>
      </c>
      <c r="E83" s="118"/>
      <c r="F83" s="118"/>
      <c r="G83" s="118"/>
      <c r="H83" s="119">
        <f t="shared" si="3"/>
        <v>116020669</v>
      </c>
    </row>
    <row r="84" spans="1:8">
      <c r="A84" s="176" t="s">
        <v>311</v>
      </c>
      <c r="B84" s="179"/>
      <c r="C84" s="177">
        <f>SUM(C85:C86)</f>
        <v>0</v>
      </c>
      <c r="D84" s="177">
        <f>SUM(D85:D86)</f>
        <v>89400</v>
      </c>
      <c r="E84" s="177">
        <f>SUM(E85:E86)</f>
        <v>0</v>
      </c>
      <c r="F84" s="177">
        <f>SUM(F85:F86)</f>
        <v>0</v>
      </c>
      <c r="G84" s="177">
        <f>SUM(G85:G86)</f>
        <v>0</v>
      </c>
      <c r="H84" s="178">
        <f>C84+D84+E84-F84-G84</f>
        <v>89400</v>
      </c>
    </row>
    <row r="85" spans="1:8">
      <c r="A85" s="124"/>
      <c r="B85" s="123" t="s">
        <v>139</v>
      </c>
      <c r="C85" s="118">
        <v>0</v>
      </c>
      <c r="D85" s="118">
        <v>38400</v>
      </c>
      <c r="E85" s="118"/>
      <c r="F85" s="118"/>
      <c r="G85" s="118"/>
      <c r="H85" s="119">
        <f>C85+D85+E85-F85-G85</f>
        <v>38400</v>
      </c>
    </row>
    <row r="86" spans="1:8">
      <c r="A86" s="124"/>
      <c r="B86" s="123" t="s">
        <v>134</v>
      </c>
      <c r="C86" s="118">
        <v>0</v>
      </c>
      <c r="D86" s="118">
        <v>51000</v>
      </c>
      <c r="E86" s="118"/>
      <c r="F86" s="118"/>
      <c r="G86" s="118"/>
      <c r="H86" s="119">
        <f>C86+D86+E86-F86-G86</f>
        <v>51000</v>
      </c>
    </row>
    <row r="87" spans="1:8">
      <c r="A87" s="222" t="s">
        <v>174</v>
      </c>
      <c r="B87" s="223"/>
      <c r="C87" s="118">
        <v>0</v>
      </c>
      <c r="D87" s="118"/>
      <c r="E87" s="118"/>
      <c r="F87" s="118"/>
      <c r="G87" s="118"/>
      <c r="H87" s="119">
        <f>C87+D87+E87-F87-G87</f>
        <v>0</v>
      </c>
    </row>
    <row r="88" spans="1:8" ht="17.25" thickBot="1">
      <c r="A88" s="29" t="s">
        <v>66</v>
      </c>
      <c r="B88" s="30"/>
      <c r="C88" s="23">
        <f t="shared" ref="C88:H88" si="4">C5+C79+C84</f>
        <v>447912271</v>
      </c>
      <c r="D88" s="23">
        <f t="shared" si="4"/>
        <v>16638289</v>
      </c>
      <c r="E88" s="23">
        <f t="shared" si="4"/>
        <v>10455734</v>
      </c>
      <c r="F88" s="23">
        <f t="shared" si="4"/>
        <v>10490678</v>
      </c>
      <c r="G88" s="23">
        <f t="shared" si="4"/>
        <v>10455734</v>
      </c>
      <c r="H88" s="24">
        <f t="shared" si="4"/>
        <v>454059882</v>
      </c>
    </row>
    <row r="89" spans="1:8">
      <c r="D89" s="131"/>
    </row>
  </sheetData>
  <sheetProtection algorithmName="SHA-512" hashValue="gRkxSNb7uwWkoz3XKLGGC3FEQhTbCTtFyhAXApUB0R1mNf8GkPBnZwbDoknp740gYVvf5iP/HQxP6dyDaOE/CA==" saltValue="/McgJBC34faSUuMoB+gzFQ==" spinCount="100000" sheet="1" objects="1" scenarios="1"/>
  <mergeCells count="8">
    <mergeCell ref="A83:B83"/>
    <mergeCell ref="A87:B87"/>
    <mergeCell ref="A80:B80"/>
    <mergeCell ref="A1:H1"/>
    <mergeCell ref="A6:B6"/>
    <mergeCell ref="A4:B4"/>
    <mergeCell ref="A2:H2"/>
    <mergeCell ref="A3:H3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93" fitToHeight="2" orientation="portrait" r:id="rId1"/>
  <headerFooter>
    <oddHeader>&amp;R
&amp;"標楷體,標準"全&amp;N頁第&amp;P頁
單位：新臺幣元</oddHeader>
    <oddFooter>&amp;C～    　   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7"/>
  <sheetViews>
    <sheetView zoomScale="115" zoomScaleNormal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7" sqref="E7"/>
    </sheetView>
  </sheetViews>
  <sheetFormatPr defaultColWidth="8.75" defaultRowHeight="16.5"/>
  <cols>
    <col min="1" max="1" width="2.375" style="18" customWidth="1"/>
    <col min="2" max="2" width="18" style="18" customWidth="1"/>
    <col min="3" max="4" width="15" style="3" customWidth="1"/>
    <col min="5" max="5" width="13.875" style="3" bestFit="1" customWidth="1"/>
    <col min="6" max="6" width="11.625" style="3" customWidth="1"/>
    <col min="7" max="7" width="23" style="3" customWidth="1"/>
    <col min="8" max="8" width="26.25" style="3" customWidth="1"/>
    <col min="9" max="9" width="8.75" style="3"/>
    <col min="10" max="10" width="23.125" style="3" customWidth="1"/>
    <col min="11" max="11" width="17.875" style="3" customWidth="1"/>
    <col min="12" max="16384" width="8.75" style="3"/>
  </cols>
  <sheetData>
    <row r="1" spans="1:11">
      <c r="A1" s="194" t="s">
        <v>188</v>
      </c>
      <c r="B1" s="194"/>
      <c r="C1" s="194"/>
      <c r="D1" s="194"/>
      <c r="E1" s="194"/>
      <c r="F1" s="194"/>
      <c r="G1" s="194"/>
    </row>
    <row r="2" spans="1:11">
      <c r="A2" s="194" t="s">
        <v>279</v>
      </c>
      <c r="B2" s="194"/>
      <c r="C2" s="194"/>
      <c r="D2" s="194"/>
      <c r="E2" s="194"/>
      <c r="F2" s="194"/>
      <c r="G2" s="194"/>
    </row>
    <row r="3" spans="1:11" ht="17.25" thickBot="1">
      <c r="A3" s="207" t="s">
        <v>288</v>
      </c>
      <c r="B3" s="207"/>
      <c r="C3" s="207"/>
      <c r="D3" s="207"/>
      <c r="E3" s="207"/>
      <c r="F3" s="207"/>
      <c r="G3" s="207"/>
    </row>
    <row r="4" spans="1:11" ht="24" customHeight="1">
      <c r="A4" s="236" t="s">
        <v>185</v>
      </c>
      <c r="B4" s="237"/>
      <c r="C4" s="240" t="s">
        <v>67</v>
      </c>
      <c r="D4" s="240" t="s">
        <v>68</v>
      </c>
      <c r="E4" s="242" t="s">
        <v>184</v>
      </c>
      <c r="F4" s="243"/>
      <c r="G4" s="42" t="s">
        <v>183</v>
      </c>
    </row>
    <row r="5" spans="1:11" ht="23.1" customHeight="1">
      <c r="A5" s="238"/>
      <c r="B5" s="239"/>
      <c r="C5" s="241"/>
      <c r="D5" s="241"/>
      <c r="E5" s="31" t="s">
        <v>69</v>
      </c>
      <c r="F5" s="32" t="s">
        <v>70</v>
      </c>
      <c r="G5" s="43"/>
      <c r="K5" s="6"/>
    </row>
    <row r="6" spans="1:11" ht="29.45" customHeight="1">
      <c r="A6" s="232" t="s">
        <v>71</v>
      </c>
      <c r="B6" s="233"/>
      <c r="C6" s="35">
        <f>SUM(C7:C9)</f>
        <v>52879886</v>
      </c>
      <c r="D6" s="35">
        <f>SUM(D7:D9)</f>
        <v>49999508</v>
      </c>
      <c r="E6" s="35">
        <f>D6-C6</f>
        <v>-2880378</v>
      </c>
      <c r="F6" s="36">
        <f>SUM(E6/C6*100)</f>
        <v>-5.4470200635455228</v>
      </c>
      <c r="G6" s="155"/>
      <c r="J6" s="6"/>
      <c r="K6" s="6"/>
    </row>
    <row r="7" spans="1:11" ht="29.45" customHeight="1">
      <c r="A7" s="136"/>
      <c r="B7" s="111" t="s">
        <v>267</v>
      </c>
      <c r="C7" s="37">
        <v>42130296</v>
      </c>
      <c r="D7" s="44">
        <v>39695788</v>
      </c>
      <c r="E7" s="35">
        <f t="shared" ref="E7:E9" si="0">D7-C7</f>
        <v>-2434508</v>
      </c>
      <c r="F7" s="36">
        <f>SUM(E7/C7*100)</f>
        <v>-5.7785209959122996</v>
      </c>
      <c r="G7" s="155"/>
      <c r="J7" s="6"/>
      <c r="K7" s="6"/>
    </row>
    <row r="8" spans="1:11" ht="29.45" customHeight="1">
      <c r="A8" s="136"/>
      <c r="B8" s="111" t="s">
        <v>268</v>
      </c>
      <c r="C8" s="37">
        <v>6100010</v>
      </c>
      <c r="D8" s="38">
        <v>5711276</v>
      </c>
      <c r="E8" s="35">
        <f t="shared" si="0"/>
        <v>-388734</v>
      </c>
      <c r="F8" s="36">
        <f>SUM(E8/C8*100)</f>
        <v>-6.3726780775769223</v>
      </c>
      <c r="G8" s="155"/>
      <c r="J8" s="6"/>
      <c r="K8" s="6"/>
    </row>
    <row r="9" spans="1:11" ht="29.45" customHeight="1">
      <c r="A9" s="135"/>
      <c r="B9" s="111" t="s">
        <v>269</v>
      </c>
      <c r="C9" s="37">
        <v>4649580</v>
      </c>
      <c r="D9" s="35">
        <v>4592444</v>
      </c>
      <c r="E9" s="35">
        <f t="shared" si="0"/>
        <v>-57136</v>
      </c>
      <c r="F9" s="36">
        <f>SUM(E9/C9*100)</f>
        <v>-1.2288421749921499</v>
      </c>
      <c r="G9" s="155"/>
      <c r="J9" s="6"/>
      <c r="K9" s="6"/>
    </row>
    <row r="10" spans="1:11" ht="35.1" customHeight="1">
      <c r="A10" s="234" t="s">
        <v>72</v>
      </c>
      <c r="B10" s="235"/>
      <c r="C10" s="37">
        <f>SUM(C11:C12)</f>
        <v>59842815</v>
      </c>
      <c r="D10" s="37">
        <f>D11+D12</f>
        <v>45825450</v>
      </c>
      <c r="E10" s="37">
        <f t="shared" ref="E10:E20" si="1">D10-C10</f>
        <v>-14017365</v>
      </c>
      <c r="F10" s="36">
        <f>SUM(E10/C10*100)</f>
        <v>-23.423639078475837</v>
      </c>
      <c r="G10" s="137"/>
      <c r="J10" s="6"/>
      <c r="K10" s="6"/>
    </row>
    <row r="11" spans="1:11" ht="30.75" customHeight="1">
      <c r="A11" s="136"/>
      <c r="B11" s="111" t="s">
        <v>265</v>
      </c>
      <c r="C11" s="37">
        <v>50160968</v>
      </c>
      <c r="D11" s="37">
        <v>38317139</v>
      </c>
      <c r="E11" s="37">
        <f t="shared" si="1"/>
        <v>-11843829</v>
      </c>
      <c r="F11" s="36">
        <f t="shared" ref="F11:F18" si="2">SUM(E11/C11*100)</f>
        <v>-23.611643618998741</v>
      </c>
      <c r="G11" s="137" t="s">
        <v>314</v>
      </c>
      <c r="J11" s="6"/>
      <c r="K11" s="6"/>
    </row>
    <row r="12" spans="1:11" ht="63">
      <c r="A12" s="112"/>
      <c r="B12" s="111" t="s">
        <v>266</v>
      </c>
      <c r="C12" s="37">
        <v>9681847</v>
      </c>
      <c r="D12" s="37">
        <v>7508311</v>
      </c>
      <c r="E12" s="37">
        <f t="shared" si="1"/>
        <v>-2173536</v>
      </c>
      <c r="F12" s="36">
        <f>SUM(E12/C12*100)</f>
        <v>-22.449600783817385</v>
      </c>
      <c r="G12" s="137" t="s">
        <v>315</v>
      </c>
      <c r="J12" s="6"/>
      <c r="K12" s="6"/>
    </row>
    <row r="13" spans="1:11" ht="27" customHeight="1">
      <c r="A13" s="234" t="s">
        <v>73</v>
      </c>
      <c r="B13" s="235"/>
      <c r="C13" s="37">
        <f>SUM(C14:C15)</f>
        <v>18425469</v>
      </c>
      <c r="D13" s="37">
        <f>SUM(D14:D15)</f>
        <v>19533470</v>
      </c>
      <c r="E13" s="37">
        <f t="shared" ref="E13:F13" si="3">E14</f>
        <v>-1253999</v>
      </c>
      <c r="F13" s="39">
        <f t="shared" si="3"/>
        <v>-6.8429299135536459</v>
      </c>
      <c r="G13" s="43"/>
      <c r="J13" s="6"/>
      <c r="K13" s="6"/>
    </row>
    <row r="14" spans="1:11" ht="27" customHeight="1">
      <c r="A14" s="136"/>
      <c r="B14" s="111" t="s">
        <v>264</v>
      </c>
      <c r="C14" s="37">
        <v>18325469</v>
      </c>
      <c r="D14" s="37">
        <v>17071470</v>
      </c>
      <c r="E14" s="37">
        <f t="shared" si="1"/>
        <v>-1253999</v>
      </c>
      <c r="F14" s="36">
        <f>SUM(E14/C14*100)</f>
        <v>-6.8429299135536459</v>
      </c>
      <c r="G14" s="43"/>
      <c r="J14" s="6"/>
    </row>
    <row r="15" spans="1:11" ht="220.5">
      <c r="A15" s="112"/>
      <c r="B15" s="111" t="s">
        <v>275</v>
      </c>
      <c r="C15" s="37">
        <v>100000</v>
      </c>
      <c r="D15" s="37">
        <v>2462000</v>
      </c>
      <c r="E15" s="37">
        <f t="shared" si="1"/>
        <v>2362000</v>
      </c>
      <c r="F15" s="36">
        <f>SUM(E15/C15*100)</f>
        <v>2362</v>
      </c>
      <c r="G15" s="137" t="s">
        <v>316</v>
      </c>
      <c r="J15" s="6"/>
    </row>
    <row r="16" spans="1:11" ht="36" customHeight="1">
      <c r="A16" s="234" t="s">
        <v>74</v>
      </c>
      <c r="B16" s="235"/>
      <c r="C16" s="37">
        <f>C17+C18</f>
        <v>13252825</v>
      </c>
      <c r="D16" s="37">
        <f>D17+D18</f>
        <v>69114207</v>
      </c>
      <c r="E16" s="37">
        <f t="shared" si="1"/>
        <v>55861382</v>
      </c>
      <c r="F16" s="36">
        <f t="shared" si="2"/>
        <v>421.50546770216914</v>
      </c>
      <c r="G16" s="185" t="s">
        <v>286</v>
      </c>
      <c r="J16" s="6"/>
    </row>
    <row r="17" spans="1:10" ht="27.6" customHeight="1">
      <c r="A17" s="136"/>
      <c r="B17" s="111" t="s">
        <v>263</v>
      </c>
      <c r="C17" s="37">
        <v>11642435</v>
      </c>
      <c r="D17" s="37">
        <v>10954109</v>
      </c>
      <c r="E17" s="37">
        <f t="shared" si="1"/>
        <v>-688326</v>
      </c>
      <c r="F17" s="36">
        <f t="shared" si="2"/>
        <v>-5.9122168171864393</v>
      </c>
      <c r="G17" s="186"/>
      <c r="J17" s="6"/>
    </row>
    <row r="18" spans="1:10" ht="385.5" customHeight="1">
      <c r="A18" s="112"/>
      <c r="B18" s="111" t="s">
        <v>262</v>
      </c>
      <c r="C18" s="37">
        <v>1610390</v>
      </c>
      <c r="D18" s="37">
        <v>58160098</v>
      </c>
      <c r="E18" s="37">
        <f t="shared" si="1"/>
        <v>56549708</v>
      </c>
      <c r="F18" s="36">
        <f t="shared" si="2"/>
        <v>3511.5535988176775</v>
      </c>
      <c r="G18" s="188" t="s">
        <v>318</v>
      </c>
      <c r="J18" s="6"/>
    </row>
    <row r="19" spans="1:10" ht="30" customHeight="1">
      <c r="A19" s="234" t="s">
        <v>75</v>
      </c>
      <c r="B19" s="235"/>
      <c r="C19" s="37">
        <f>C20</f>
        <v>11703718</v>
      </c>
      <c r="D19" s="37">
        <f>D20</f>
        <v>15382553</v>
      </c>
      <c r="E19" s="37">
        <f t="shared" ref="E19:F19" si="4">E20</f>
        <v>3678835</v>
      </c>
      <c r="F19" s="36">
        <f t="shared" si="4"/>
        <v>31.433045464697628</v>
      </c>
      <c r="G19" s="116"/>
      <c r="J19" s="6"/>
    </row>
    <row r="20" spans="1:10" ht="135.75" customHeight="1">
      <c r="A20" s="112"/>
      <c r="B20" s="111" t="s">
        <v>261</v>
      </c>
      <c r="C20" s="37">
        <v>11703718</v>
      </c>
      <c r="D20" s="37">
        <v>15382553</v>
      </c>
      <c r="E20" s="37">
        <f t="shared" si="1"/>
        <v>3678835</v>
      </c>
      <c r="F20" s="36">
        <f>SUM(E20/C20*100)</f>
        <v>31.433045464697628</v>
      </c>
      <c r="G20" s="187" t="s">
        <v>317</v>
      </c>
      <c r="J20" s="6"/>
    </row>
    <row r="21" spans="1:10" ht="30" customHeight="1" thickBot="1">
      <c r="A21" s="230" t="s">
        <v>260</v>
      </c>
      <c r="B21" s="231"/>
      <c r="C21" s="45">
        <f>SUM(C6+C10+C13+C16+C19)</f>
        <v>156104713</v>
      </c>
      <c r="D21" s="45">
        <f>SUM(D6+D10+D13+D16+D19)</f>
        <v>199855188</v>
      </c>
      <c r="E21" s="46">
        <f>SUM(D21-C21)</f>
        <v>43750475</v>
      </c>
      <c r="F21" s="47">
        <f>SUM(E21/C21*100)</f>
        <v>28.026363944565851</v>
      </c>
      <c r="G21" s="117"/>
      <c r="J21" s="6"/>
    </row>
    <row r="22" spans="1:10" hidden="1">
      <c r="C22" s="138">
        <f>C21-收支餘絀表!C6</f>
        <v>0</v>
      </c>
      <c r="D22" s="138">
        <f>D21-收支餘絀表!D6</f>
        <v>0</v>
      </c>
      <c r="J22" s="6"/>
    </row>
    <row r="23" spans="1:10">
      <c r="J23" s="6"/>
    </row>
    <row r="24" spans="1:10">
      <c r="J24" s="6"/>
    </row>
    <row r="25" spans="1:10">
      <c r="J25" s="6"/>
    </row>
    <row r="26" spans="1:10">
      <c r="J26" s="6"/>
    </row>
    <row r="27" spans="1:10">
      <c r="J27" s="6"/>
    </row>
  </sheetData>
  <sheetProtection algorithmName="SHA-512" hashValue="xCc8dF5s2VllHp9Qdla+wpfZoyzy3PhF3SoCpHVY35+3L6MnQwPM7/Fh32HCt8voULUTMcRQKzOJR0zMUFXQWw==" saltValue="HZNVnFXMOWbXpaj8avX8uA==" spinCount="100000" sheet="1" objects="1" scenarios="1"/>
  <mergeCells count="13">
    <mergeCell ref="A1:G1"/>
    <mergeCell ref="A4:B5"/>
    <mergeCell ref="C4:C5"/>
    <mergeCell ref="D4:D5"/>
    <mergeCell ref="E4:F4"/>
    <mergeCell ref="A2:G2"/>
    <mergeCell ref="A3:G3"/>
    <mergeCell ref="A21:B21"/>
    <mergeCell ref="A6:B6"/>
    <mergeCell ref="A10:B10"/>
    <mergeCell ref="A13:B13"/>
    <mergeCell ref="A16:B16"/>
    <mergeCell ref="A19:B1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
&amp;"標楷體,標準"全&amp;N頁第&amp;P頁
單位：新臺幣元</oddHeader>
    <oddFooter>&amp;C～ 　　～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1" sqref="G11"/>
    </sheetView>
  </sheetViews>
  <sheetFormatPr defaultColWidth="8.75" defaultRowHeight="16.5"/>
  <cols>
    <col min="1" max="1" width="1.875" style="3" customWidth="1"/>
    <col min="2" max="2" width="21.75" style="3" customWidth="1"/>
    <col min="3" max="4" width="14.75" style="3" bestFit="1" customWidth="1"/>
    <col min="5" max="5" width="14.625" style="3" customWidth="1"/>
    <col min="6" max="6" width="10.25" style="3" customWidth="1"/>
    <col min="7" max="7" width="22.625" style="3" customWidth="1"/>
    <col min="8" max="11" width="11.125" style="3" bestFit="1" customWidth="1"/>
    <col min="12" max="16384" width="8.75" style="3"/>
  </cols>
  <sheetData>
    <row r="1" spans="1:12" ht="17.45" customHeight="1">
      <c r="A1" s="246" t="s">
        <v>280</v>
      </c>
      <c r="B1" s="246"/>
      <c r="C1" s="246"/>
      <c r="D1" s="246"/>
      <c r="E1" s="246"/>
      <c r="F1" s="246"/>
      <c r="G1" s="246"/>
      <c r="K1" s="6"/>
    </row>
    <row r="2" spans="1:12" ht="17.45" customHeight="1">
      <c r="A2" s="246" t="s">
        <v>281</v>
      </c>
      <c r="B2" s="246"/>
      <c r="C2" s="246"/>
      <c r="D2" s="246"/>
      <c r="E2" s="246"/>
      <c r="F2" s="246"/>
      <c r="G2" s="246"/>
      <c r="K2" s="6"/>
    </row>
    <row r="3" spans="1:12" ht="17.45" customHeight="1" thickBot="1">
      <c r="A3" s="256" t="s">
        <v>290</v>
      </c>
      <c r="B3" s="256"/>
      <c r="C3" s="256"/>
      <c r="D3" s="256"/>
      <c r="E3" s="256"/>
      <c r="F3" s="256"/>
      <c r="G3" s="256"/>
      <c r="K3" s="6"/>
    </row>
    <row r="4" spans="1:12">
      <c r="A4" s="252" t="s">
        <v>76</v>
      </c>
      <c r="B4" s="253"/>
      <c r="C4" s="247" t="s">
        <v>67</v>
      </c>
      <c r="D4" s="247" t="s">
        <v>68</v>
      </c>
      <c r="E4" s="249" t="s">
        <v>77</v>
      </c>
      <c r="F4" s="249"/>
      <c r="G4" s="250" t="s">
        <v>78</v>
      </c>
      <c r="K4" s="6"/>
    </row>
    <row r="5" spans="1:12">
      <c r="A5" s="254"/>
      <c r="B5" s="255"/>
      <c r="C5" s="248"/>
      <c r="D5" s="248"/>
      <c r="E5" s="164" t="s">
        <v>79</v>
      </c>
      <c r="F5" s="164" t="s">
        <v>80</v>
      </c>
      <c r="G5" s="251"/>
      <c r="K5" s="6"/>
      <c r="L5" s="21"/>
    </row>
    <row r="6" spans="1:12">
      <c r="A6" s="50" t="s">
        <v>81</v>
      </c>
      <c r="B6" s="51"/>
      <c r="C6" s="55">
        <f>SUM(C7:C11)</f>
        <v>2375472</v>
      </c>
      <c r="D6" s="55">
        <f>SUM(D7:D11)</f>
        <v>2029162</v>
      </c>
      <c r="E6" s="34">
        <f>D6-C6</f>
        <v>-346310</v>
      </c>
      <c r="F6" s="58">
        <f>E6/C6*100</f>
        <v>-14.578576383977584</v>
      </c>
      <c r="G6" s="152"/>
      <c r="K6" s="6"/>
    </row>
    <row r="7" spans="1:12">
      <c r="A7" s="144"/>
      <c r="B7" s="28" t="s">
        <v>190</v>
      </c>
      <c r="C7" s="55">
        <v>1118412</v>
      </c>
      <c r="D7" s="7">
        <v>1072440</v>
      </c>
      <c r="E7" s="34">
        <f t="shared" ref="E7:E36" si="0">D7-C7</f>
        <v>-45972</v>
      </c>
      <c r="F7" s="58">
        <f t="shared" ref="F7:F35" si="1">E7/C7*100</f>
        <v>-4.1104709176940162</v>
      </c>
      <c r="G7" s="152"/>
      <c r="K7" s="6"/>
      <c r="L7" s="40"/>
    </row>
    <row r="8" spans="1:12" ht="37.5" customHeight="1">
      <c r="A8" s="143"/>
      <c r="B8" s="28" t="s">
        <v>191</v>
      </c>
      <c r="C8" s="55">
        <v>584200</v>
      </c>
      <c r="D8" s="7">
        <v>363862</v>
      </c>
      <c r="E8" s="34">
        <f t="shared" si="0"/>
        <v>-220338</v>
      </c>
      <c r="F8" s="58">
        <f t="shared" si="1"/>
        <v>-37.716193084560082</v>
      </c>
      <c r="G8" s="189" t="s">
        <v>274</v>
      </c>
      <c r="K8" s="6"/>
    </row>
    <row r="9" spans="1:12">
      <c r="A9" s="143"/>
      <c r="B9" s="26" t="s">
        <v>189</v>
      </c>
      <c r="C9" s="55">
        <v>40260</v>
      </c>
      <c r="D9" s="7">
        <v>40260</v>
      </c>
      <c r="E9" s="34">
        <f t="shared" si="0"/>
        <v>0</v>
      </c>
      <c r="F9" s="58">
        <f t="shared" si="1"/>
        <v>0</v>
      </c>
      <c r="G9" s="189"/>
      <c r="K9" s="6"/>
    </row>
    <row r="10" spans="1:12">
      <c r="A10" s="143"/>
      <c r="B10" s="26" t="s">
        <v>271</v>
      </c>
      <c r="C10" s="55">
        <v>2600</v>
      </c>
      <c r="D10" s="7">
        <v>2600</v>
      </c>
      <c r="E10" s="34">
        <f t="shared" si="0"/>
        <v>0</v>
      </c>
      <c r="F10" s="58">
        <f t="shared" si="1"/>
        <v>0</v>
      </c>
      <c r="G10" s="153"/>
      <c r="K10" s="6"/>
    </row>
    <row r="11" spans="1:12" ht="63">
      <c r="A11" s="27"/>
      <c r="B11" s="28" t="s">
        <v>192</v>
      </c>
      <c r="C11" s="55">
        <v>630000</v>
      </c>
      <c r="D11" s="7">
        <v>550000</v>
      </c>
      <c r="E11" s="34">
        <f t="shared" si="0"/>
        <v>-80000</v>
      </c>
      <c r="F11" s="58">
        <f t="shared" si="1"/>
        <v>-12.698412698412698</v>
      </c>
      <c r="G11" s="189" t="s">
        <v>319</v>
      </c>
      <c r="K11" s="6"/>
    </row>
    <row r="12" spans="1:12">
      <c r="A12" s="25" t="s">
        <v>82</v>
      </c>
      <c r="B12" s="20"/>
      <c r="C12" s="55">
        <f>SUM(C13:C17)</f>
        <v>25694849</v>
      </c>
      <c r="D12" s="55">
        <f>SUM(D13:D17)</f>
        <v>23199822</v>
      </c>
      <c r="E12" s="34">
        <f t="shared" si="0"/>
        <v>-2495027</v>
      </c>
      <c r="F12" s="58">
        <f t="shared" si="1"/>
        <v>-9.710222465210828</v>
      </c>
      <c r="G12" s="153"/>
      <c r="K12" s="6"/>
    </row>
    <row r="13" spans="1:12">
      <c r="A13" s="144"/>
      <c r="B13" s="28" t="s">
        <v>190</v>
      </c>
      <c r="C13" s="55">
        <v>15658646</v>
      </c>
      <c r="D13" s="7">
        <v>15987499</v>
      </c>
      <c r="E13" s="34">
        <f t="shared" si="0"/>
        <v>328853</v>
      </c>
      <c r="F13" s="58">
        <f t="shared" si="1"/>
        <v>2.1001368828441489</v>
      </c>
      <c r="G13" s="153" t="s">
        <v>83</v>
      </c>
      <c r="K13" s="6"/>
    </row>
    <row r="14" spans="1:12" ht="299.25">
      <c r="A14" s="143"/>
      <c r="B14" s="53" t="s">
        <v>193</v>
      </c>
      <c r="C14" s="55">
        <v>5325150</v>
      </c>
      <c r="D14" s="7">
        <v>4498644</v>
      </c>
      <c r="E14" s="34">
        <f t="shared" si="0"/>
        <v>-826506</v>
      </c>
      <c r="F14" s="58">
        <f t="shared" si="1"/>
        <v>-15.520802230923072</v>
      </c>
      <c r="G14" s="189" t="s">
        <v>320</v>
      </c>
      <c r="K14" s="6"/>
    </row>
    <row r="15" spans="1:12" s="21" customFormat="1" ht="278.25" customHeight="1">
      <c r="A15" s="142"/>
      <c r="B15" s="54" t="s">
        <v>194</v>
      </c>
      <c r="C15" s="130">
        <v>1673000</v>
      </c>
      <c r="D15" s="56">
        <v>960798</v>
      </c>
      <c r="E15" s="34">
        <f t="shared" si="0"/>
        <v>-712202</v>
      </c>
      <c r="F15" s="58">
        <f t="shared" si="1"/>
        <v>-42.570352659892407</v>
      </c>
      <c r="G15" s="189" t="s">
        <v>321</v>
      </c>
      <c r="H15" s="132"/>
      <c r="I15" s="132"/>
      <c r="J15" s="133"/>
      <c r="K15" s="133"/>
      <c r="L15" s="3"/>
    </row>
    <row r="16" spans="1:12" ht="235.5" customHeight="1">
      <c r="A16" s="141"/>
      <c r="B16" s="53" t="s">
        <v>189</v>
      </c>
      <c r="C16" s="55">
        <v>819046</v>
      </c>
      <c r="D16" s="7">
        <v>844624</v>
      </c>
      <c r="E16" s="34">
        <f t="shared" si="0"/>
        <v>25578</v>
      </c>
      <c r="F16" s="58">
        <f>E16/C16*100</f>
        <v>3.1229015220146366</v>
      </c>
      <c r="G16" s="153"/>
      <c r="K16" s="6"/>
    </row>
    <row r="17" spans="1:12" s="40" customFormat="1" ht="39.950000000000003" customHeight="1">
      <c r="A17" s="60"/>
      <c r="B17" s="53" t="s">
        <v>195</v>
      </c>
      <c r="C17" s="55">
        <v>2219007</v>
      </c>
      <c r="D17" s="7">
        <v>908257</v>
      </c>
      <c r="E17" s="34">
        <f t="shared" si="0"/>
        <v>-1310750</v>
      </c>
      <c r="F17" s="58">
        <f t="shared" ref="F17" si="2">E17/C17*100</f>
        <v>-59.069214292699392</v>
      </c>
      <c r="G17" s="189" t="s">
        <v>322</v>
      </c>
      <c r="J17" s="3"/>
      <c r="K17" s="6"/>
      <c r="L17" s="3"/>
    </row>
    <row r="18" spans="1:12" ht="27.95" customHeight="1">
      <c r="A18" s="50" t="s">
        <v>84</v>
      </c>
      <c r="B18" s="51"/>
      <c r="C18" s="113">
        <f>SUM(C19:C23)</f>
        <v>77339167</v>
      </c>
      <c r="D18" s="113">
        <f>SUM(D19:D23)</f>
        <v>74769344</v>
      </c>
      <c r="E18" s="34">
        <f t="shared" si="0"/>
        <v>-2569823</v>
      </c>
      <c r="F18" s="58">
        <f t="shared" ref="F18:F23" si="3">E18/C18*100</f>
        <v>-3.3227963264719413</v>
      </c>
      <c r="G18" s="152"/>
      <c r="K18" s="6"/>
    </row>
    <row r="19" spans="1:12">
      <c r="A19" s="140"/>
      <c r="B19" s="53" t="s">
        <v>190</v>
      </c>
      <c r="C19" s="113">
        <v>54797854</v>
      </c>
      <c r="D19" s="114">
        <v>53209859</v>
      </c>
      <c r="E19" s="34">
        <f t="shared" si="0"/>
        <v>-1587995</v>
      </c>
      <c r="F19" s="58">
        <f t="shared" si="3"/>
        <v>-2.8979145789176344</v>
      </c>
      <c r="G19" s="152" t="s">
        <v>83</v>
      </c>
      <c r="K19" s="6"/>
    </row>
    <row r="20" spans="1:12" ht="236.25">
      <c r="A20" s="140"/>
      <c r="B20" s="54" t="s">
        <v>191</v>
      </c>
      <c r="C20" s="113">
        <v>17891182</v>
      </c>
      <c r="D20" s="114">
        <v>12747357</v>
      </c>
      <c r="E20" s="34">
        <f t="shared" si="0"/>
        <v>-5143825</v>
      </c>
      <c r="F20" s="58">
        <f t="shared" si="3"/>
        <v>-28.750615806155231</v>
      </c>
      <c r="G20" s="189" t="s">
        <v>323</v>
      </c>
      <c r="K20" s="6"/>
    </row>
    <row r="21" spans="1:12" ht="47.25">
      <c r="A21" s="141"/>
      <c r="B21" s="53" t="s">
        <v>194</v>
      </c>
      <c r="C21" s="113">
        <v>40000</v>
      </c>
      <c r="D21" s="114">
        <v>28288</v>
      </c>
      <c r="E21" s="34">
        <f t="shared" si="0"/>
        <v>-11712</v>
      </c>
      <c r="F21" s="58">
        <f t="shared" si="3"/>
        <v>-29.28</v>
      </c>
      <c r="G21" s="189" t="s">
        <v>324</v>
      </c>
      <c r="K21" s="6"/>
    </row>
    <row r="22" spans="1:12" ht="31.5">
      <c r="A22" s="141"/>
      <c r="B22" s="53" t="s">
        <v>196</v>
      </c>
      <c r="C22" s="113">
        <v>2350694</v>
      </c>
      <c r="D22" s="114">
        <v>2042074</v>
      </c>
      <c r="E22" s="34">
        <f t="shared" si="0"/>
        <v>-308620</v>
      </c>
      <c r="F22" s="58">
        <f t="shared" si="3"/>
        <v>-13.128888745196098</v>
      </c>
      <c r="G22" s="189" t="s">
        <v>325</v>
      </c>
      <c r="K22" s="6"/>
    </row>
    <row r="23" spans="1:12" ht="78.75">
      <c r="A23" s="41"/>
      <c r="B23" s="54" t="s">
        <v>270</v>
      </c>
      <c r="C23" s="113">
        <v>2259437</v>
      </c>
      <c r="D23" s="114">
        <v>6741766</v>
      </c>
      <c r="E23" s="34">
        <f t="shared" si="0"/>
        <v>4482329</v>
      </c>
      <c r="F23" s="58">
        <f t="shared" si="3"/>
        <v>198.38256167354965</v>
      </c>
      <c r="G23" s="189" t="s">
        <v>326</v>
      </c>
      <c r="K23" s="6"/>
    </row>
    <row r="24" spans="1:12" ht="63">
      <c r="A24" s="50" t="s">
        <v>111</v>
      </c>
      <c r="B24" s="51"/>
      <c r="C24" s="113">
        <v>1560000</v>
      </c>
      <c r="D24" s="113">
        <v>1011000</v>
      </c>
      <c r="E24" s="34">
        <f t="shared" si="0"/>
        <v>-549000</v>
      </c>
      <c r="F24" s="58">
        <f t="shared" si="1"/>
        <v>-35.192307692307693</v>
      </c>
      <c r="G24" s="189" t="s">
        <v>327</v>
      </c>
      <c r="K24" s="6"/>
    </row>
    <row r="25" spans="1:12" ht="30" customHeight="1">
      <c r="A25" s="50" t="s">
        <v>85</v>
      </c>
      <c r="B25" s="51"/>
      <c r="C25" s="113">
        <f>SUM(C27:C32)</f>
        <v>51796632</v>
      </c>
      <c r="D25" s="113">
        <f>SUM(D27:D32)</f>
        <v>45810175</v>
      </c>
      <c r="E25" s="34">
        <f t="shared" si="0"/>
        <v>-5986457</v>
      </c>
      <c r="F25" s="58">
        <f t="shared" si="1"/>
        <v>-11.557618263673978</v>
      </c>
      <c r="G25" s="153"/>
      <c r="K25" s="6"/>
    </row>
    <row r="26" spans="1:12" ht="30" customHeight="1">
      <c r="A26" s="140"/>
      <c r="B26" s="53" t="s">
        <v>197</v>
      </c>
      <c r="C26" s="113">
        <v>45327369</v>
      </c>
      <c r="D26" s="113">
        <f t="shared" ref="D26" si="4">SUM(D27:D31)</f>
        <v>40539873</v>
      </c>
      <c r="E26" s="34">
        <f t="shared" si="0"/>
        <v>-4787496</v>
      </c>
      <c r="F26" s="58">
        <f t="shared" si="1"/>
        <v>-10.562042548730327</v>
      </c>
      <c r="G26" s="190"/>
      <c r="K26" s="6"/>
    </row>
    <row r="27" spans="1:12" ht="30" customHeight="1">
      <c r="A27" s="141"/>
      <c r="B27" s="52" t="s">
        <v>198</v>
      </c>
      <c r="C27" s="113">
        <v>6725564</v>
      </c>
      <c r="D27" s="113">
        <v>6446799</v>
      </c>
      <c r="E27" s="34">
        <f t="shared" si="0"/>
        <v>-278765</v>
      </c>
      <c r="F27" s="58">
        <f t="shared" si="1"/>
        <v>-4.1448568476933687</v>
      </c>
      <c r="G27" s="153"/>
      <c r="K27" s="6"/>
    </row>
    <row r="28" spans="1:12" ht="63">
      <c r="A28" s="141"/>
      <c r="B28" s="52" t="s">
        <v>199</v>
      </c>
      <c r="C28" s="113">
        <v>37601866</v>
      </c>
      <c r="D28" s="113">
        <f>33052047+89734</f>
        <v>33141781</v>
      </c>
      <c r="E28" s="34">
        <f t="shared" si="0"/>
        <v>-4460085</v>
      </c>
      <c r="F28" s="58">
        <f>E28/C28*100</f>
        <v>-11.861339540968526</v>
      </c>
      <c r="G28" s="189" t="s">
        <v>328</v>
      </c>
      <c r="K28" s="6"/>
    </row>
    <row r="29" spans="1:12" ht="143.25" customHeight="1">
      <c r="A29" s="140"/>
      <c r="B29" s="53" t="s">
        <v>200</v>
      </c>
      <c r="C29" s="113">
        <v>140800</v>
      </c>
      <c r="D29" s="113">
        <v>337553</v>
      </c>
      <c r="E29" s="34">
        <f t="shared" si="0"/>
        <v>196753</v>
      </c>
      <c r="F29" s="58">
        <f>E29/C29*100</f>
        <v>139.73934659090909</v>
      </c>
      <c r="G29" s="189" t="s">
        <v>329</v>
      </c>
      <c r="K29" s="6"/>
    </row>
    <row r="30" spans="1:12" ht="35.25" customHeight="1">
      <c r="A30" s="141"/>
      <c r="B30" s="53" t="s">
        <v>201</v>
      </c>
      <c r="C30" s="33">
        <v>321291</v>
      </c>
      <c r="D30" s="33">
        <v>279462</v>
      </c>
      <c r="E30" s="34">
        <f t="shared" si="0"/>
        <v>-41829</v>
      </c>
      <c r="F30" s="115">
        <f>E30/C30*100</f>
        <v>-13.019038815279607</v>
      </c>
      <c r="G30" s="191" t="s">
        <v>330</v>
      </c>
      <c r="K30" s="6"/>
    </row>
    <row r="31" spans="1:12" ht="34.5" customHeight="1">
      <c r="A31" s="141"/>
      <c r="B31" s="54" t="s">
        <v>202</v>
      </c>
      <c r="C31" s="113">
        <v>537848</v>
      </c>
      <c r="D31" s="113">
        <v>334278</v>
      </c>
      <c r="E31" s="34">
        <f t="shared" si="0"/>
        <v>-203570</v>
      </c>
      <c r="F31" s="58">
        <f t="shared" si="1"/>
        <v>-37.848983355892372</v>
      </c>
      <c r="G31" s="191" t="s">
        <v>331</v>
      </c>
      <c r="K31" s="6"/>
    </row>
    <row r="32" spans="1:12" ht="36" customHeight="1">
      <c r="A32" s="41"/>
      <c r="B32" s="54" t="s">
        <v>203</v>
      </c>
      <c r="C32" s="113">
        <v>6469263</v>
      </c>
      <c r="D32" s="113">
        <v>5270302</v>
      </c>
      <c r="E32" s="34">
        <f t="shared" si="0"/>
        <v>-1198961</v>
      </c>
      <c r="F32" s="58">
        <f t="shared" si="1"/>
        <v>-18.533193039145264</v>
      </c>
      <c r="G32" s="189" t="s">
        <v>332</v>
      </c>
      <c r="K32" s="6"/>
    </row>
    <row r="33" spans="1:11" ht="27.95" customHeight="1">
      <c r="A33" s="50" t="s">
        <v>86</v>
      </c>
      <c r="B33" s="51"/>
      <c r="C33" s="113">
        <f>SUM(C34:C35)</f>
        <v>30842500</v>
      </c>
      <c r="D33" s="113">
        <f>SUM(D34:D35)</f>
        <v>25812613</v>
      </c>
      <c r="E33" s="34">
        <f t="shared" si="0"/>
        <v>-5029887</v>
      </c>
      <c r="F33" s="58">
        <f t="shared" si="1"/>
        <v>-16.30829861392559</v>
      </c>
      <c r="G33" s="192"/>
      <c r="K33" s="6"/>
    </row>
    <row r="34" spans="1:11" ht="27.95" customHeight="1">
      <c r="A34" s="139"/>
      <c r="B34" s="53" t="s">
        <v>205</v>
      </c>
      <c r="C34" s="113">
        <v>1600000</v>
      </c>
      <c r="D34" s="113">
        <v>1537246</v>
      </c>
      <c r="E34" s="34">
        <f t="shared" si="0"/>
        <v>-62754</v>
      </c>
      <c r="F34" s="58">
        <f t="shared" ref="F34" si="5">E34/C34*100</f>
        <v>-3.9221249999999999</v>
      </c>
      <c r="G34" s="152"/>
      <c r="K34" s="6"/>
    </row>
    <row r="35" spans="1:11" ht="33.75" customHeight="1">
      <c r="A35" s="140"/>
      <c r="B35" s="53" t="s">
        <v>272</v>
      </c>
      <c r="C35" s="113">
        <v>29242500</v>
      </c>
      <c r="D35" s="113">
        <v>24275367</v>
      </c>
      <c r="E35" s="34">
        <f t="shared" si="0"/>
        <v>-4967133</v>
      </c>
      <c r="F35" s="58">
        <f t="shared" si="1"/>
        <v>-16.986006668376508</v>
      </c>
      <c r="G35" s="193" t="s">
        <v>333</v>
      </c>
      <c r="K35" s="6"/>
    </row>
    <row r="36" spans="1:11" ht="27.95" customHeight="1" thickBot="1">
      <c r="A36" s="244" t="s">
        <v>204</v>
      </c>
      <c r="B36" s="245"/>
      <c r="C36" s="57">
        <f>SUM(C6+C12+C18+C24+C25+C33)</f>
        <v>189608620</v>
      </c>
      <c r="D36" s="57">
        <f>SUM(D6+D12+D18+D24+D25+D33)</f>
        <v>172632116</v>
      </c>
      <c r="E36" s="184">
        <f t="shared" si="0"/>
        <v>-16976504</v>
      </c>
      <c r="F36" s="59">
        <f>SUM(F6+F12+F18+F24+F25+F33)</f>
        <v>-90.669819745567608</v>
      </c>
      <c r="G36" s="154"/>
      <c r="K36" s="6"/>
    </row>
    <row r="37" spans="1:11" hidden="1">
      <c r="C37" s="138">
        <f>C36-收支餘絀表!C13</f>
        <v>0</v>
      </c>
      <c r="D37" s="138">
        <f>D36-收支餘絀表!D13</f>
        <v>0</v>
      </c>
      <c r="K37" s="6"/>
    </row>
    <row r="38" spans="1:11">
      <c r="K38" s="6"/>
    </row>
    <row r="39" spans="1:11">
      <c r="K39" s="6"/>
    </row>
    <row r="40" spans="1:11">
      <c r="K40" s="6"/>
    </row>
  </sheetData>
  <sheetProtection algorithmName="SHA-512" hashValue="Rc9jkY+VeUC5z/qUF3eqV1fgzm/zqDTg3uXHvLo7QuLoEZrWeZ/umJSafoV7A5XbsR4ACVlq22NXbQ+9ZCUz/w==" saltValue="JZPMfLwr8FiifgVTdfPwjQ==" spinCount="100000" sheet="1" objects="1" scenarios="1"/>
  <mergeCells count="9">
    <mergeCell ref="A36:B36"/>
    <mergeCell ref="A1:G1"/>
    <mergeCell ref="C4:C5"/>
    <mergeCell ref="D4:D5"/>
    <mergeCell ref="E4:F4"/>
    <mergeCell ref="G4:G5"/>
    <mergeCell ref="A4:B5"/>
    <mergeCell ref="A2:G2"/>
    <mergeCell ref="A3:G3"/>
  </mergeCells>
  <phoneticPr fontId="1" type="noConversion"/>
  <printOptions horizontalCentered="1"/>
  <pageMargins left="3.937007874015748E-2" right="3.937007874015748E-2" top="0.59055118110236227" bottom="0.59055118110236227" header="0.31496062992125984" footer="0.31496062992125984"/>
  <pageSetup paperSize="9" orientation="portrait" r:id="rId1"/>
  <headerFooter>
    <oddHeader>&amp;R
&amp;"標楷體,標準"全&amp;N頁第&amp;P頁
單位：新臺幣元</oddHeader>
    <oddFooter>&amp;C～   　　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4</vt:i4>
      </vt:variant>
    </vt:vector>
  </HeadingPairs>
  <TitlesOfParts>
    <vt:vector size="11" baseType="lpstr">
      <vt:lpstr>平衡表</vt:lpstr>
      <vt:lpstr>收支餘絀表</vt:lpstr>
      <vt:lpstr>現金流量表</vt:lpstr>
      <vt:lpstr>現金收支概況表</vt:lpstr>
      <vt:lpstr>固定資產無形資產變動表</vt:lpstr>
      <vt:lpstr>收入明細</vt:lpstr>
      <vt:lpstr>支出明細表</vt:lpstr>
      <vt:lpstr>固定資產無形資產變動表!Print_Area</vt:lpstr>
      <vt:lpstr>支出明細表!Print_Titles</vt:lpstr>
      <vt:lpstr>收入明細!Print_Titles</vt:lpstr>
      <vt:lpstr>固定資產無形資產變動表!Print_Titles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房佳樺</cp:lastModifiedBy>
  <cp:lastPrinted>2021-11-11T04:02:19Z</cp:lastPrinted>
  <dcterms:created xsi:type="dcterms:W3CDTF">2018-09-12T08:16:57Z</dcterms:created>
  <dcterms:modified xsi:type="dcterms:W3CDTF">2021-11-29T08:21:44Z</dcterms:modified>
</cp:coreProperties>
</file>